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codeName="{AE6600E7-7A62-396C-DE95-9942FA9DD81E}"/>
  <workbookPr filterPrivacy="1" codeName="ThisWorkbook" defaultThemeVersion="124226"/>
  <xr:revisionPtr revIDLastSave="0" documentId="13_ncr:1_{CEDA638A-59C5-4D8C-A25D-AC9B251D48EB}" xr6:coauthVersionLast="47" xr6:coauthVersionMax="47" xr10:uidLastSave="{00000000-0000-0000-0000-000000000000}"/>
  <bookViews>
    <workbookView xWindow="-120" yWindow="-120" windowWidth="29040" windowHeight="15720" tabRatio="835" xr2:uid="{00000000-000D-0000-FFFF-FFFF00000000}"/>
  </bookViews>
  <sheets>
    <sheet name="selecteer hier uw barbecue" sheetId="2" r:id="rId1"/>
    <sheet name="matrixen" sheetId="1" state="hidden" r:id="rId2"/>
    <sheet name="Algemene verkoopsvoorwaarden" sheetId="3" r:id="rId3"/>
    <sheet name="Reservatievoorstel" sheetId="4" r:id="rId4"/>
  </sheets>
  <definedNames>
    <definedName name="_xlnm.Print_Area" localSheetId="2">'Algemene verkoopsvoorwaarden'!$A$1:$A$47</definedName>
    <definedName name="_xlnm.Print_Area" localSheetId="3">Reservatievoorstel!$A$1:$R$50</definedName>
    <definedName name="dessert">matrixen!$B$142:$Q$164</definedName>
    <definedName name="dessertjes">matrixen!$M$22:$M$34</definedName>
    <definedName name="hapjes">matrixen!$AM$16:$AM$49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4" l="1"/>
  <c r="I20" i="4" s="1"/>
  <c r="I18" i="4"/>
  <c r="D88" i="2"/>
  <c r="C75" i="2"/>
  <c r="C74" i="2"/>
  <c r="J52" i="4"/>
  <c r="J54" i="4"/>
  <c r="J55" i="4"/>
  <c r="J56" i="4"/>
  <c r="J53" i="4"/>
  <c r="B80" i="2"/>
  <c r="B78" i="2"/>
  <c r="B79" i="2"/>
  <c r="B76" i="2" l="1"/>
  <c r="B77" i="2"/>
  <c r="C72" i="2"/>
  <c r="C73" i="2"/>
  <c r="D61" i="2" l="1"/>
  <c r="C1" i="4"/>
  <c r="B3" i="2"/>
  <c r="N22" i="4" l="1"/>
  <c r="N20" i="4"/>
  <c r="N18" i="4"/>
  <c r="L87" i="2" l="1"/>
  <c r="I12" i="4" s="1"/>
  <c r="H12" i="4" s="1"/>
  <c r="J87" i="2"/>
  <c r="I48" i="4" l="1"/>
  <c r="J43" i="4"/>
  <c r="J42" i="4"/>
  <c r="J41" i="4"/>
  <c r="A41" i="4"/>
  <c r="J40" i="4"/>
  <c r="I40" i="4"/>
  <c r="H40" i="4"/>
  <c r="E40" i="4"/>
  <c r="B40" i="4"/>
  <c r="J39" i="4"/>
  <c r="I39" i="4"/>
  <c r="E39" i="4"/>
  <c r="B39" i="4"/>
  <c r="J38" i="4"/>
  <c r="J37" i="4"/>
  <c r="A37" i="4"/>
  <c r="J36" i="4"/>
  <c r="A36" i="4"/>
  <c r="J35" i="4"/>
  <c r="J34" i="4"/>
  <c r="J33" i="4"/>
  <c r="K23" i="4"/>
  <c r="A23" i="4"/>
  <c r="K22" i="4"/>
  <c r="K21" i="4"/>
  <c r="K20" i="4"/>
  <c r="A20" i="4"/>
  <c r="K19" i="4"/>
  <c r="A19" i="4"/>
  <c r="K18" i="4"/>
  <c r="I17" i="4"/>
  <c r="I16" i="4"/>
  <c r="E15" i="4"/>
  <c r="N12" i="4"/>
  <c r="J14" i="4" s="1"/>
  <c r="E12" i="4"/>
  <c r="L8" i="4" s="1"/>
  <c r="N8" i="4" s="1"/>
  <c r="Q8" i="4" s="1"/>
  <c r="D12" i="4"/>
  <c r="K8" i="4" s="1"/>
  <c r="M11" i="4"/>
  <c r="L11" i="4"/>
  <c r="I10" i="4"/>
  <c r="D11" i="4"/>
  <c r="K7" i="4" s="1"/>
  <c r="D10" i="4"/>
  <c r="K6" i="4" s="1"/>
  <c r="I8" i="4"/>
  <c r="D9" i="4"/>
  <c r="K5" i="4" s="1"/>
  <c r="I7" i="4"/>
  <c r="E7" i="4"/>
  <c r="D7" i="4"/>
  <c r="C7" i="4"/>
  <c r="I45" i="4" s="1"/>
  <c r="C6" i="4"/>
  <c r="A6" i="4"/>
  <c r="C5" i="4"/>
  <c r="C4" i="4"/>
  <c r="C3" i="4"/>
  <c r="C2" i="4"/>
  <c r="AA109" i="2"/>
  <c r="AA108" i="2"/>
  <c r="AA107" i="2"/>
  <c r="AA101" i="2"/>
  <c r="AA100" i="2"/>
  <c r="AA98" i="2"/>
  <c r="AA97" i="2"/>
  <c r="AA96" i="2"/>
  <c r="AA95" i="2"/>
  <c r="AB94" i="2"/>
  <c r="AB93" i="2"/>
  <c r="I94" i="2"/>
  <c r="J97" i="2" s="1"/>
  <c r="G93" i="2"/>
  <c r="H97" i="2" s="1"/>
  <c r="E93" i="2"/>
  <c r="F96" i="2" s="1"/>
  <c r="AB92" i="2"/>
  <c r="AB91" i="2"/>
  <c r="AA91" i="2"/>
  <c r="AA90" i="2"/>
  <c r="AA89" i="2"/>
  <c r="AA88" i="2"/>
  <c r="L66" i="2"/>
  <c r="AA87" i="2"/>
  <c r="AA86" i="2"/>
  <c r="AA85" i="2"/>
  <c r="AA84" i="2"/>
  <c r="AA83" i="2"/>
  <c r="AA82" i="2"/>
  <c r="AI81" i="2"/>
  <c r="AH81" i="2"/>
  <c r="AA81" i="2"/>
  <c r="AI80" i="2"/>
  <c r="AH80" i="2"/>
  <c r="AA80" i="2"/>
  <c r="H80" i="2"/>
  <c r="A33" i="4" s="1"/>
  <c r="AI79" i="2"/>
  <c r="AH79" i="2"/>
  <c r="AA79" i="2"/>
  <c r="AI78" i="2"/>
  <c r="AH78" i="2"/>
  <c r="AA78" i="2"/>
  <c r="J78" i="2"/>
  <c r="A29" i="4" s="1"/>
  <c r="H78" i="2"/>
  <c r="I29" i="4" s="1"/>
  <c r="AI77" i="2"/>
  <c r="AH77" i="2"/>
  <c r="AA77" i="2"/>
  <c r="J77" i="2"/>
  <c r="A28" i="4" s="1"/>
  <c r="H77" i="2"/>
  <c r="I28" i="4" s="1"/>
  <c r="AI76" i="2"/>
  <c r="AH76" i="2"/>
  <c r="AA76" i="2"/>
  <c r="J76" i="2"/>
  <c r="A27" i="4" s="1"/>
  <c r="H76" i="2"/>
  <c r="I27" i="4" s="1"/>
  <c r="AI75" i="2"/>
  <c r="AH75" i="2"/>
  <c r="AA75" i="2"/>
  <c r="J75" i="2"/>
  <c r="A26" i="4" s="1"/>
  <c r="H75" i="2"/>
  <c r="I26" i="4" s="1"/>
  <c r="AI74" i="2"/>
  <c r="AH74" i="2"/>
  <c r="AA74" i="2"/>
  <c r="J74" i="2"/>
  <c r="A25" i="4" s="1"/>
  <c r="H74" i="2"/>
  <c r="I25" i="4" s="1"/>
  <c r="AI73" i="2"/>
  <c r="AH73" i="2"/>
  <c r="AA73" i="2"/>
  <c r="L73" i="2"/>
  <c r="I31" i="4" s="1"/>
  <c r="AI72" i="2"/>
  <c r="AH72" i="2"/>
  <c r="AA72" i="2"/>
  <c r="L72" i="2"/>
  <c r="A31" i="4" s="1"/>
  <c r="AI71" i="2"/>
  <c r="AH71" i="2"/>
  <c r="AA71" i="2"/>
  <c r="AI70" i="2"/>
  <c r="AH70" i="2"/>
  <c r="AA70" i="2"/>
  <c r="AA69" i="2"/>
  <c r="AA67" i="2"/>
  <c r="AA66" i="2"/>
  <c r="AB65" i="2"/>
  <c r="AA65" i="2"/>
  <c r="H65" i="2"/>
  <c r="A17" i="4" s="1"/>
  <c r="J29" i="4" s="1"/>
  <c r="J28" i="4" s="1"/>
  <c r="AB64" i="2"/>
  <c r="AB63" i="2"/>
  <c r="AB62" i="2"/>
  <c r="AB61" i="2"/>
  <c r="J61" i="2"/>
  <c r="G61" i="2"/>
  <c r="AB60" i="2"/>
  <c r="J60" i="2"/>
  <c r="D60" i="2"/>
  <c r="L82" i="2" s="1"/>
  <c r="H82" i="2" s="1"/>
  <c r="A35" i="4" s="1"/>
  <c r="AB59" i="2"/>
  <c r="AB58" i="2"/>
  <c r="E58" i="2"/>
  <c r="L83" i="2" s="1"/>
  <c r="D58" i="2"/>
  <c r="Q2" i="4" s="1"/>
  <c r="AA56" i="2"/>
  <c r="AA55" i="2"/>
  <c r="D55" i="2"/>
  <c r="F56" i="2" s="1"/>
  <c r="AA54" i="2"/>
  <c r="F54" i="2"/>
  <c r="J50" i="4" s="1"/>
  <c r="AA53" i="2"/>
  <c r="F53" i="2"/>
  <c r="J49" i="4" s="1"/>
  <c r="AA52" i="2"/>
  <c r="F52" i="2"/>
  <c r="J48" i="4" s="1"/>
  <c r="AA51" i="2"/>
  <c r="F51" i="2"/>
  <c r="J47" i="4" s="1"/>
  <c r="B51" i="2"/>
  <c r="AA50" i="2"/>
  <c r="F50" i="2"/>
  <c r="J46" i="4" s="1"/>
  <c r="AF49" i="2"/>
  <c r="AA49" i="2"/>
  <c r="F49" i="2"/>
  <c r="J45" i="4" s="1"/>
  <c r="D49" i="2"/>
  <c r="L81" i="2" s="1"/>
  <c r="H81" i="2" s="1"/>
  <c r="A34" i="4" s="1"/>
  <c r="J44" i="4" s="1"/>
  <c r="AF48" i="2"/>
  <c r="AA48" i="2"/>
  <c r="AF47" i="2"/>
  <c r="AA47" i="2"/>
  <c r="AF46" i="2"/>
  <c r="AF45" i="2"/>
  <c r="AA45" i="2"/>
  <c r="D45" i="2"/>
  <c r="L80" i="2" s="1"/>
  <c r="AF44" i="2"/>
  <c r="AA44" i="2"/>
  <c r="AF43" i="2"/>
  <c r="AA43" i="2"/>
  <c r="AF42" i="2"/>
  <c r="AA42" i="2"/>
  <c r="F42" i="2"/>
  <c r="AF41" i="2"/>
  <c r="AF40" i="2"/>
  <c r="AA40" i="2"/>
  <c r="D23" i="4" s="1"/>
  <c r="C40" i="2"/>
  <c r="Q39" i="2"/>
  <c r="C39" i="2"/>
  <c r="AA38" i="2"/>
  <c r="Q38" i="2"/>
  <c r="C38" i="2"/>
  <c r="AA37" i="2"/>
  <c r="Q37" i="2"/>
  <c r="C37" i="2"/>
  <c r="AA36" i="2"/>
  <c r="Q36" i="2"/>
  <c r="C36" i="2"/>
  <c r="AA35" i="2"/>
  <c r="Q35" i="2"/>
  <c r="F35" i="2"/>
  <c r="D35" i="2"/>
  <c r="I79" i="2" s="1"/>
  <c r="AA34" i="2"/>
  <c r="AA33" i="2"/>
  <c r="R33" i="2"/>
  <c r="D33" i="2"/>
  <c r="L69" i="2" s="1"/>
  <c r="H69" i="2" s="1"/>
  <c r="A22" i="4" s="1"/>
  <c r="AA32" i="2"/>
  <c r="F32" i="2"/>
  <c r="AA31" i="2"/>
  <c r="AA30" i="2"/>
  <c r="AA29" i="2"/>
  <c r="AA26" i="2"/>
  <c r="F26" i="2"/>
  <c r="AA25" i="2"/>
  <c r="F25" i="2"/>
  <c r="AA24" i="2"/>
  <c r="F24" i="2"/>
  <c r="Q35" i="4" s="1"/>
  <c r="AA23" i="2"/>
  <c r="F23" i="2"/>
  <c r="F22" i="2"/>
  <c r="AA21" i="2"/>
  <c r="F21" i="2"/>
  <c r="P31" i="4" s="1"/>
  <c r="AA20" i="2"/>
  <c r="F20" i="2"/>
  <c r="P30" i="4" s="1"/>
  <c r="AA19" i="2"/>
  <c r="F19" i="2"/>
  <c r="P29" i="4" s="1"/>
  <c r="AA18" i="2"/>
  <c r="F18" i="2"/>
  <c r="P28" i="4" s="1"/>
  <c r="AA17" i="2"/>
  <c r="F17" i="2"/>
  <c r="M31" i="4" s="1"/>
  <c r="AA16" i="2"/>
  <c r="F16" i="2"/>
  <c r="M30" i="4" s="1"/>
  <c r="B16" i="2"/>
  <c r="AA15" i="2"/>
  <c r="F15" i="2"/>
  <c r="M29" i="4" s="1"/>
  <c r="B15" i="2"/>
  <c r="AA14" i="2"/>
  <c r="F14" i="2"/>
  <c r="J31" i="4" s="1"/>
  <c r="AA13" i="2"/>
  <c r="F13" i="2"/>
  <c r="J30" i="4" s="1"/>
  <c r="D13" i="2"/>
  <c r="AA11" i="2"/>
  <c r="D6" i="2" s="1"/>
  <c r="I11" i="2"/>
  <c r="D15" i="2" s="1"/>
  <c r="P7" i="4" l="1"/>
  <c r="P2" i="4"/>
  <c r="P6" i="4"/>
  <c r="J15" i="4"/>
  <c r="L65" i="2"/>
  <c r="H95" i="2"/>
  <c r="H98" i="2"/>
  <c r="J95" i="2"/>
  <c r="J98" i="2"/>
  <c r="P5" i="4"/>
  <c r="F93" i="2"/>
  <c r="H93" i="2"/>
  <c r="H96" i="2"/>
  <c r="H99" i="2"/>
  <c r="J96" i="2"/>
  <c r="F99" i="2"/>
  <c r="I33" i="2"/>
  <c r="D42" i="2" s="1"/>
  <c r="F94" i="2"/>
  <c r="F97" i="2"/>
  <c r="H94" i="2"/>
  <c r="F98" i="2"/>
  <c r="J94" i="2"/>
  <c r="F95" i="2"/>
  <c r="J66" i="2"/>
  <c r="H66" i="2"/>
  <c r="A18" i="4" s="1"/>
  <c r="F55" i="2"/>
  <c r="R35" i="2"/>
  <c r="D39" i="2" s="1"/>
  <c r="AE45" i="2" s="1"/>
  <c r="G24" i="2"/>
  <c r="J32" i="4" s="1"/>
  <c r="J17" i="4"/>
  <c r="J16" i="4"/>
  <c r="J19" i="4" s="1"/>
  <c r="D8" i="4"/>
  <c r="P3" i="4"/>
  <c r="J20" i="4"/>
  <c r="J21" i="4"/>
  <c r="J23" i="4"/>
  <c r="J22" i="4"/>
  <c r="M8" i="4"/>
  <c r="O8" i="4" s="1"/>
  <c r="R8" i="4"/>
  <c r="J18" i="4"/>
  <c r="B42" i="2" l="1"/>
  <c r="AE44" i="2"/>
  <c r="AE41" i="2"/>
  <c r="L79" i="2"/>
  <c r="K79" i="2" s="1"/>
  <c r="AE43" i="2"/>
  <c r="AE47" i="2"/>
  <c r="D43" i="2"/>
  <c r="AE46" i="2"/>
  <c r="AE48" i="2"/>
  <c r="AE40" i="2"/>
  <c r="AE42" i="2"/>
  <c r="AE49" i="2"/>
  <c r="D7" i="2" l="1"/>
  <c r="E9" i="4" l="1"/>
  <c r="Q1" i="4" s="1"/>
  <c r="L5" i="4" s="1"/>
  <c r="M5" i="4" s="1"/>
  <c r="N5" i="4" s="1"/>
  <c r="Q5" i="4" s="1"/>
  <c r="J7" i="2"/>
  <c r="E10" i="4" s="1"/>
  <c r="L6" i="4" s="1"/>
  <c r="H7" i="2"/>
  <c r="E11" i="4" s="1"/>
  <c r="M14" i="4" l="1"/>
  <c r="O14" i="4" s="1"/>
  <c r="M6" i="4"/>
  <c r="O6" i="4" s="1"/>
  <c r="L7" i="4"/>
  <c r="M7" i="4" s="1"/>
  <c r="M22" i="4" s="1"/>
  <c r="O22" i="4" s="1"/>
  <c r="M19" i="4"/>
  <c r="O19" i="4" s="1"/>
  <c r="M13" i="4"/>
  <c r="M18" i="4"/>
  <c r="O18" i="4" s="1"/>
  <c r="O5" i="4"/>
  <c r="I9" i="4"/>
  <c r="R5" i="4"/>
  <c r="M16" i="4"/>
  <c r="O16" i="4" s="1"/>
  <c r="I11" i="4" l="1"/>
  <c r="Q9" i="4" s="1"/>
  <c r="N6" i="4"/>
  <c r="Q6" i="4" s="1"/>
  <c r="M20" i="4"/>
  <c r="O20" i="4" s="1"/>
  <c r="O7" i="4"/>
  <c r="N7" i="4"/>
  <c r="Q7" i="4" s="1"/>
  <c r="R7" i="4" s="1"/>
  <c r="P9" i="4" l="1"/>
  <c r="O24" i="4" s="1"/>
  <c r="L24" i="4"/>
  <c r="K24" i="4" s="1"/>
  <c r="I13" i="4"/>
  <c r="F83" i="2" s="1"/>
  <c r="F85" i="2" s="1"/>
  <c r="F86" i="2" s="1"/>
  <c r="I14" i="4" s="1"/>
  <c r="J26" i="4" s="1"/>
  <c r="M23" i="4"/>
  <c r="O23" i="4" s="1"/>
  <c r="R6" i="4"/>
  <c r="M21" i="4"/>
  <c r="O21" i="4" s="1"/>
  <c r="M24" i="4" l="1"/>
  <c r="N24" i="4"/>
  <c r="J24" i="4"/>
  <c r="M25" i="4"/>
  <c r="L25" i="4"/>
</calcChain>
</file>

<file path=xl/sharedStrings.xml><?xml version="1.0" encoding="utf-8"?>
<sst xmlns="http://schemas.openxmlformats.org/spreadsheetml/2006/main" count="945" uniqueCount="474">
  <si>
    <t>Pineau des charentes wit</t>
  </si>
  <si>
    <t>Maison (basis safari)</t>
  </si>
  <si>
    <t>Kir royale</t>
  </si>
  <si>
    <t>Sherry dry</t>
  </si>
  <si>
    <t>Porto</t>
  </si>
  <si>
    <t>Receptie E</t>
  </si>
  <si>
    <t>Receptie A</t>
  </si>
  <si>
    <t>Martini (wit/rood)</t>
  </si>
  <si>
    <t>Uitgebreide receptie</t>
  </si>
  <si>
    <t>Basis receptie.</t>
  </si>
  <si>
    <t>Dranken 2 uur inbegrepen.</t>
  </si>
  <si>
    <t>Kir</t>
  </si>
  <si>
    <t>nootjes en chips</t>
  </si>
  <si>
    <t>“3 koude voorgerechtjes”</t>
  </si>
  <si>
    <t>Schuimwijn</t>
  </si>
  <si>
    <t xml:space="preserve">koud hapje met krabsla </t>
  </si>
  <si>
    <t>koud hapje met gerookte zalm</t>
  </si>
  <si>
    <t>koud hapje met grijze garnalen</t>
  </si>
  <si>
    <t>“soepje”</t>
  </si>
  <si>
    <t>1 mini soepje tomatenroom of vissoepje</t>
  </si>
  <si>
    <t>“3 warme gerechtjes”</t>
  </si>
  <si>
    <t>Schuimwijn brut</t>
  </si>
  <si>
    <t>kippenboutje</t>
  </si>
  <si>
    <t>Cava</t>
  </si>
  <si>
    <t>mini loempia</t>
  </si>
  <si>
    <t>Champagne</t>
  </si>
  <si>
    <t>mini croque monsieur</t>
  </si>
  <si>
    <t>“2 dessertjes”</t>
  </si>
  <si>
    <t>mini-brochetje met druifje, ananas en meloenbolletje</t>
  </si>
  <si>
    <t xml:space="preserve">Dessertbuffet zonder maaltijd: </t>
  </si>
  <si>
    <t>mini confituurtaartje</t>
  </si>
  <si>
    <t>Koffie 3 X bediend</t>
  </si>
  <si>
    <t>1 aperitief per persoon, vrije keuze</t>
  </si>
  <si>
    <t>Nootjes, chips en zoutkoekjes zoveel u wenst,  per pers.</t>
  </si>
  <si>
    <t>gratis</t>
  </si>
  <si>
    <t>aperitiefglaasjes per stuk</t>
  </si>
  <si>
    <t>Rauwe groenten (wortel, bloemkool, cocktailsaus) prijs per persoon:</t>
  </si>
  <si>
    <t xml:space="preserve">€ </t>
  </si>
  <si>
    <t>Maak hier uw keuze</t>
  </si>
  <si>
    <t>Belegd met:</t>
  </si>
  <si>
    <t>parmaham</t>
  </si>
  <si>
    <t>grijze garnalen</t>
  </si>
  <si>
    <t>gerookte zalm</t>
  </si>
  <si>
    <t>zalmsalade</t>
  </si>
  <si>
    <t>gerookte ham</t>
  </si>
  <si>
    <t>vissla</t>
  </si>
  <si>
    <t xml:space="preserve"> </t>
  </si>
  <si>
    <t>kaas</t>
  </si>
  <si>
    <t>gekookte ham</t>
  </si>
  <si>
    <t>américain préparé</t>
  </si>
  <si>
    <t>krabsla</t>
  </si>
  <si>
    <t>kipsla</t>
  </si>
  <si>
    <t>- Stukje zalm en papillotte</t>
  </si>
  <si>
    <t>- Stukje victoriabaarsfilet met fijne kruiden en papillotte</t>
  </si>
  <si>
    <t>- Forel met fijne groenten en papillotte</t>
  </si>
  <si>
    <t>- Witte zalm in een jasje van ham</t>
  </si>
  <si>
    <t>- Worst</t>
  </si>
  <si>
    <t>- Kippenboutjes</t>
  </si>
  <si>
    <t xml:space="preserve">- Gemarineerde kotelet  </t>
  </si>
  <si>
    <t xml:space="preserve">- Lamskoteletjes </t>
  </si>
  <si>
    <t>- Varkensbrochet</t>
  </si>
  <si>
    <t xml:space="preserve">-  Kasselrib    </t>
  </si>
  <si>
    <t>- Ribbetjes</t>
  </si>
  <si>
    <t xml:space="preserve">       </t>
  </si>
  <si>
    <t>De samenstelling van het buffet kan verschillen, naargelang de grootte van de groep</t>
  </si>
  <si>
    <t>Dame blanche</t>
  </si>
  <si>
    <t>Aardbeiensoepje met sinaasappel in seizoen</t>
  </si>
  <si>
    <t>Sabayon met rood fruit</t>
  </si>
  <si>
    <t>Deze info is van: Feestzaal Katelijnenhof, Heirweg 172, 8800 Roeselare. Contacteer de zaakvoerder: 0475/618058 - info@katelijnenhof.be - web: www.katelijnenhof.be met foto's en volledige prijslijst.</t>
  </si>
  <si>
    <t>kinderen</t>
  </si>
  <si>
    <t xml:space="preserve"> 0 t.e.m. 2 j. 11 maand</t>
  </si>
  <si>
    <t>3 j. t.e.m. 5 j. 11 maand</t>
  </si>
  <si>
    <t>6 j, t.e.m. 11 jr. 11 maand</t>
  </si>
  <si>
    <t>Totaal per volwassene:</t>
  </si>
  <si>
    <t>0,00</t>
  </si>
  <si>
    <t>prijs pp</t>
  </si>
  <si>
    <t>Gedetailleerde info</t>
  </si>
  <si>
    <t>Maak in dit vak uw keuze voor het aperitief</t>
  </si>
  <si>
    <t>1 aperitief per persoon</t>
  </si>
  <si>
    <t>2 aperitieven per persoon</t>
  </si>
  <si>
    <t>vrije keuze</t>
  </si>
  <si>
    <t>Porto rood</t>
  </si>
  <si>
    <t>Martini</t>
  </si>
  <si>
    <t>Frisdrank</t>
  </si>
  <si>
    <t>met 4 aperitiefglaasjes</t>
  </si>
  <si>
    <t xml:space="preserve"> en drank gedurende 2 uur.</t>
  </si>
  <si>
    <t>eventueel tweede wordt</t>
  </si>
  <si>
    <t xml:space="preserve">1 per persoon,  </t>
  </si>
  <si>
    <t>direct afgerekend of</t>
  </si>
  <si>
    <t>komt op 1 rekening</t>
  </si>
  <si>
    <t xml:space="preserve">2 per persoon,  </t>
  </si>
  <si>
    <t>eventueel derde wordt</t>
  </si>
  <si>
    <t>Bieren</t>
  </si>
  <si>
    <t>wachtbordje met vispasteitje</t>
  </si>
  <si>
    <t>wachtbordje van reuzentoost met gerookte zalm</t>
  </si>
  <si>
    <t>Maak hier uw keuze voor extra hapjes bij het aperitief</t>
  </si>
  <si>
    <t>kippenbilletjes</t>
  </si>
  <si>
    <t>toostcupje</t>
  </si>
  <si>
    <t>garnaal in filo</t>
  </si>
  <si>
    <t>mini croque</t>
  </si>
  <si>
    <t>toost garnaal koud</t>
  </si>
  <si>
    <t>toost gerookte zalm koud</t>
  </si>
  <si>
    <t>toost krabsla koud</t>
  </si>
  <si>
    <t>toost eendenpastei koud</t>
  </si>
  <si>
    <t>aperoglaasje eendenmousse</t>
  </si>
  <si>
    <t>aperoglaasje gerookte zalm</t>
  </si>
  <si>
    <t>aperoglaasje mousse van krab</t>
  </si>
  <si>
    <t>aperoglaasje tomaat / garnaal</t>
  </si>
  <si>
    <t>Keuze koude toostjes</t>
  </si>
  <si>
    <t>Keuze aperoglaasjes</t>
  </si>
  <si>
    <t>Keuze warme toostjes</t>
  </si>
  <si>
    <t>(bij reservatie te bepalen)</t>
  </si>
  <si>
    <r>
      <t xml:space="preserve">(klik </t>
    </r>
    <r>
      <rPr>
        <sz val="11"/>
        <color theme="1"/>
        <rFont val="Calibri"/>
        <family val="2"/>
        <scheme val="minor"/>
      </rPr>
      <t>op de gele balk, vervolgens op het pijltje rechts en scroll ev. naar beneden)</t>
    </r>
  </si>
  <si>
    <t>Kies hier eerst uw aardappelbereiding</t>
  </si>
  <si>
    <t>Koude aardappelen</t>
  </si>
  <si>
    <t>Aardappel in de pel</t>
  </si>
  <si>
    <t>1/2 koude aardappelen en 1/2 aardappel in de pel</t>
  </si>
  <si>
    <t>frietjes (supplement)</t>
  </si>
  <si>
    <t>inbegrepen</t>
  </si>
  <si>
    <r>
      <t xml:space="preserve">Mogelijke supplementen </t>
    </r>
    <r>
      <rPr>
        <b/>
        <u/>
        <sz val="14"/>
        <color indexed="8"/>
        <rFont val="Calibri"/>
        <family val="2"/>
      </rPr>
      <t>bij de recepties</t>
    </r>
  </si>
  <si>
    <t>basisprijs</t>
  </si>
  <si>
    <t>sup. Tov basisprijs</t>
  </si>
  <si>
    <r>
      <t xml:space="preserve">MAAK STEEDS UW KEUZE in de </t>
    </r>
    <r>
      <rPr>
        <b/>
        <sz val="20"/>
        <rFont val="Calibri"/>
        <family val="2"/>
      </rPr>
      <t>gele</t>
    </r>
    <r>
      <rPr>
        <b/>
        <sz val="20"/>
        <color indexed="8"/>
        <rFont val="Calibri"/>
        <family val="2"/>
      </rPr>
      <t xml:space="preserve"> vakken: </t>
    </r>
    <r>
      <rPr>
        <b/>
        <sz val="12"/>
        <color indexed="8"/>
        <rFont val="Calibri"/>
        <family val="2"/>
      </rPr>
      <t>(scroll naar beneden om meer gegevens in te vullen) Hierboven kunt u uw prijs volgen.</t>
    </r>
  </si>
  <si>
    <t>U kan ook voor de kinderen een kindermenu nemen ( zie een andere rekenmodule)</t>
  </si>
  <si>
    <t>Selecteer hier uw dessert.</t>
  </si>
  <si>
    <t xml:space="preserve">U mag tegelijk ook </t>
  </si>
  <si>
    <t>uit de vorige categorie kiezen</t>
  </si>
  <si>
    <t>extra info</t>
  </si>
  <si>
    <t>Vanilleijs, verse slagroom,warme chocoladesaus.</t>
  </si>
  <si>
    <t>Sinaasappelsap met grand marnier en daarin vers gesneden aardbeien (alleen in seizoen)</t>
  </si>
  <si>
    <t>De lekkerste van alle gebakjes.</t>
  </si>
  <si>
    <t>Klein maar fijn gebakje</t>
  </si>
  <si>
    <t>Hier heb je zowel gebak als vanilleijs.</t>
  </si>
  <si>
    <t>Sabayon, fruit en ijs</t>
  </si>
  <si>
    <t>Nog geen dessert geselecteerd</t>
  </si>
  <si>
    <t>Koffie 3 X bediend met koekjes</t>
  </si>
  <si>
    <t>Koffie 3 X bediend met pralines</t>
  </si>
  <si>
    <t>Nog geen keuze gemaakt</t>
  </si>
  <si>
    <t>Selecteer hier uw koffie</t>
  </si>
  <si>
    <t>Stel zelf uw barbecue samen!</t>
  </si>
  <si>
    <t>Selecteer hier de samenstelling van uw barbecue.  Indien u bij onderstaande lijst blijft, kost de barbecue:</t>
  </si>
  <si>
    <t>Kies uit deze vleesspecialiteiten</t>
  </si>
  <si>
    <r>
      <t xml:space="preserve">Afhankelijk van de soort ingrediënten die u kiest, verandert de prijs van de barbecue. De volwassenen verkrijgen steeds </t>
    </r>
    <r>
      <rPr>
        <b/>
        <sz val="14"/>
        <color indexed="8"/>
        <rFont val="Calibri"/>
        <family val="2"/>
      </rPr>
      <t>5</t>
    </r>
    <r>
      <rPr>
        <sz val="11"/>
        <color theme="1"/>
        <rFont val="Calibri"/>
        <family val="2"/>
        <scheme val="minor"/>
      </rPr>
      <t xml:space="preserve"> verschillende soorten. De kinderen </t>
    </r>
    <r>
      <rPr>
        <b/>
        <sz val="14"/>
        <color indexed="8"/>
        <rFont val="Calibri"/>
        <family val="2"/>
      </rPr>
      <t>3</t>
    </r>
    <r>
      <rPr>
        <sz val="11"/>
        <color theme="1"/>
        <rFont val="Calibri"/>
        <family val="2"/>
        <scheme val="minor"/>
      </rPr>
      <t>.</t>
    </r>
  </si>
  <si>
    <t>Basisprijs BBQ</t>
  </si>
  <si>
    <t>sup vis</t>
  </si>
  <si>
    <r>
      <t xml:space="preserve">In de barbecues zijn steeds </t>
    </r>
    <r>
      <rPr>
        <b/>
        <sz val="11"/>
        <color indexed="8"/>
        <rFont val="Calibri"/>
        <family val="2"/>
      </rPr>
      <t>groenten</t>
    </r>
    <r>
      <rPr>
        <sz val="11"/>
        <color theme="1"/>
        <rFont val="Calibri"/>
        <family val="2"/>
        <scheme val="minor"/>
      </rPr>
      <t xml:space="preserve"> voorzien,  koude aardappelen </t>
    </r>
    <r>
      <rPr>
        <b/>
        <u/>
        <sz val="11"/>
        <color indexed="8"/>
        <rFont val="Calibri"/>
        <family val="2"/>
      </rPr>
      <t>en/of</t>
    </r>
    <r>
      <rPr>
        <sz val="11"/>
        <color theme="1"/>
        <rFont val="Calibri"/>
        <family val="2"/>
        <scheme val="minor"/>
      </rPr>
      <t xml:space="preserve"> aardappel in de pel. Ook de </t>
    </r>
    <r>
      <rPr>
        <b/>
        <sz val="11"/>
        <color indexed="8"/>
        <rFont val="Calibri"/>
        <family val="2"/>
      </rPr>
      <t>sausjes</t>
    </r>
    <r>
      <rPr>
        <sz val="11"/>
        <color theme="1"/>
        <rFont val="Calibri"/>
        <family val="2"/>
        <scheme val="minor"/>
      </rPr>
      <t xml:space="preserve"> zijn inbegrepen.</t>
    </r>
  </si>
  <si>
    <t>Selecteer hier uw formule van de dranken tijdens de barbecue.</t>
  </si>
  <si>
    <t>Eventuele datum van het feest:</t>
  </si>
  <si>
    <t>geraamd aantal volwassenen:</t>
  </si>
  <si>
    <t>geraamd aantal kinderen  0 t.e.m. 2 j. 11 maand:</t>
  </si>
  <si>
    <t>geraamd aantal kinderen 3 j. t.e.m. 5 j. 11 maand:</t>
  </si>
  <si>
    <t>Minimaal verbruik feest</t>
  </si>
  <si>
    <t xml:space="preserve">Feest met discobar: </t>
  </si>
  <si>
    <t xml:space="preserve">Vegetariërs: </t>
  </si>
  <si>
    <t>nee</t>
  </si>
  <si>
    <t xml:space="preserve">Speciale dieten: </t>
  </si>
  <si>
    <t xml:space="preserve">Halal bereidingen: </t>
  </si>
  <si>
    <t>Alle drank na de maaltijd komt op één rekening en wordt door de organisator van het feest betaald</t>
  </si>
  <si>
    <t>Elke gast die na de maaltijd een drankje bestelt rekent direct af aan de bar</t>
  </si>
  <si>
    <t xml:space="preserve">Forfait voor drank naar believen (alle bieren en frisdranken van de drankkaart in de zaal) na een maaltijd. pp: </t>
  </si>
  <si>
    <t xml:space="preserve">Indien  er geen volwaardige maaltijd wordt genomen, dienen er minstens 4 belegde broodjes genomen te worden en verhoogt het drankforfait tot € 28,00 </t>
  </si>
  <si>
    <t>'s middags tot 21 u - 's avonds onbeperkt. Let op! Artikel 8 van de verkoopsvoorwaarden (zie laatste bladzijde) kan hier van toepassing zijn !!!!</t>
  </si>
  <si>
    <t>Verbruik van DJ  ten laste van de klant</t>
  </si>
  <si>
    <t>Voor onze vegetarische klanten:</t>
  </si>
  <si>
    <t xml:space="preserve">- Voor onze vegetarische klanten bereiden wij graag een aparte schotel. </t>
  </si>
  <si>
    <t>Wij vragen wel met aandrang om op voorhand te melden als er vegetariërs zijn.</t>
  </si>
  <si>
    <t>Zij eten mee aan de prijs van de rest van de groep.</t>
  </si>
  <si>
    <t>Mensen met een speciaal dieet:</t>
  </si>
  <si>
    <t xml:space="preserve">Wij houden rekening met speciale wensen van mensen die een dieet volgen, </t>
  </si>
  <si>
    <t xml:space="preserve">maar alleen indien op voorhand gemeld. </t>
  </si>
  <si>
    <t>Halal kan ook, onder toezicht van een moslim bereid.</t>
  </si>
  <si>
    <t>ja</t>
  </si>
  <si>
    <r>
      <t xml:space="preserve">Het exacte aantal personen </t>
    </r>
    <r>
      <rPr>
        <b/>
        <u/>
        <sz val="11"/>
        <color indexed="8"/>
        <rFont val="Calibri"/>
        <family val="2"/>
      </rPr>
      <t>en</t>
    </r>
    <r>
      <rPr>
        <sz val="11"/>
        <color theme="1"/>
        <rFont val="Calibri"/>
        <family val="2"/>
        <scheme val="minor"/>
      </rPr>
      <t xml:space="preserve"> de tafelschikking dient ons meegedeeld te worden de vrijdag van het weekend voordien.</t>
    </r>
  </si>
  <si>
    <t>U vindt verder een overzicht van uw selectie</t>
  </si>
  <si>
    <t>Overzicht van uw selectie:</t>
  </si>
  <si>
    <t>groenten en sausen</t>
  </si>
  <si>
    <t>Basisprijs BBQ:</t>
  </si>
  <si>
    <t>één rekening</t>
  </si>
  <si>
    <t>direct afrekenen</t>
  </si>
  <si>
    <t>Gaat u akkoord met de algemene verkoopsvoorwaarden?</t>
  </si>
  <si>
    <t>Naam Klant:</t>
  </si>
  <si>
    <t>Katelijnenhof</t>
  </si>
  <si>
    <t>Adres:</t>
  </si>
  <si>
    <t>Heirweg 172</t>
  </si>
  <si>
    <t>Stad:</t>
  </si>
  <si>
    <t>8800 Roeselare</t>
  </si>
  <si>
    <t>Tel nr:</t>
  </si>
  <si>
    <t>Gsm 0475/618058</t>
  </si>
  <si>
    <t>Datum activiteit:</t>
  </si>
  <si>
    <t>Totaal aantal personen:</t>
  </si>
  <si>
    <t>prijs:</t>
  </si>
  <si>
    <t>aankomst om:</t>
  </si>
  <si>
    <t>volwassenen:</t>
  </si>
  <si>
    <t>aan tafel om:</t>
  </si>
  <si>
    <t>JR 1/2 (6 t.e.m. 11) :</t>
  </si>
  <si>
    <t>JR 1/3 (3 t.e.m. 5) :</t>
  </si>
  <si>
    <t>JR gratis (0 t.e.m. 2) :</t>
  </si>
  <si>
    <t>Voorkeur tafelschikking:</t>
  </si>
  <si>
    <t xml:space="preserve">Het juiste aantal EN de gewenste tafelschikking moet ons meegedeeld worden ten laatste op: </t>
  </si>
  <si>
    <t>Wijzigingen na deze datum van aantal en/of tafelschikking hebben prijsherzieningen tot gevolg!</t>
  </si>
  <si>
    <t xml:space="preserve">Dit aantal geldt als minimum voor facturatie. Verdere verkoopsvoorwaarden op een ander werkblad. </t>
  </si>
  <si>
    <t>Vergeet ze niet te lezen.</t>
  </si>
  <si>
    <t>Handtekening der beide partijen voor akkoord:</t>
  </si>
  <si>
    <t>De klant</t>
  </si>
  <si>
    <t>Het Katelijnenhof</t>
  </si>
  <si>
    <t>uur van aankomst:</t>
  </si>
  <si>
    <t>Uw naam:</t>
  </si>
  <si>
    <t>Geschat factuurtotaal:</t>
  </si>
  <si>
    <t>(Gebaseerd op de door u ingebrachte gegevens)</t>
  </si>
  <si>
    <r>
      <t>Let op</t>
    </r>
    <r>
      <rPr>
        <sz val="11"/>
        <color indexed="8"/>
        <rFont val="Arial"/>
        <family val="2"/>
      </rPr>
      <t>: indien slecht weer (vanaf 5 Beaufort of bij hevige neerslag) kunnen wij beslissen om het vlees</t>
    </r>
  </si>
  <si>
    <t xml:space="preserve"> te bakken in de keuken binnen. We doen er echter alles aan om de barbecue buiten te laten doorgaan.</t>
  </si>
  <si>
    <t>geraamde totalen uit andere rekenbladen:</t>
  </si>
  <si>
    <t>Barbecue met:</t>
  </si>
  <si>
    <t>ander rekenblad:</t>
  </si>
  <si>
    <t>huur zaal:</t>
  </si>
  <si>
    <t>raming totaal 1:</t>
  </si>
  <si>
    <t>(vb: kindermenus)</t>
  </si>
  <si>
    <t>korting bij contante betaling:</t>
  </si>
  <si>
    <t>saldo:</t>
  </si>
  <si>
    <t>Keuze drank na de maaltijd:</t>
  </si>
  <si>
    <t>geen voorkeur</t>
  </si>
  <si>
    <t>liever lange tafels ev. In U-vorm of H-vorm.</t>
  </si>
  <si>
    <t>zoveel mogelijk ronde tafels van 6 à 8 personen</t>
  </si>
  <si>
    <t>reden feest:</t>
  </si>
  <si>
    <t>Opmerking:</t>
  </si>
  <si>
    <t>lam, zwanen enz..  . Met foto suppl.</t>
  </si>
  <si>
    <t>Deze bladen kopiëren en waarden plakken en alle prijzen van de rekenmodules worden aangepast</t>
  </si>
  <si>
    <t xml:space="preserve">Foto op de taart: suppl. € </t>
  </si>
  <si>
    <t xml:space="preserve">per stuk taart en € </t>
  </si>
  <si>
    <t xml:space="preserve"> per foto</t>
  </si>
  <si>
    <t>uitgebreide fomule met toostjes in menuvorm (max 3uur)</t>
  </si>
  <si>
    <t>Belangrijk: De prijs van dit dessertbuffet geldt alleen indien voorafgegaan door een maaltijd!!</t>
  </si>
  <si>
    <t>info@katelijnenhof.be</t>
  </si>
  <si>
    <t>Indien een genodigde een extra aperitief bestelt of een aperitief wenst die niet in de prijs begrepen is dan:</t>
  </si>
  <si>
    <t>De gast die een extra aperitief bestelt betaalt deze zelf</t>
  </si>
  <si>
    <t>Alle extra aperitief komt op de algemene rekening.</t>
  </si>
  <si>
    <t>Huiswijn, bieren en frisdranken als forfait</t>
  </si>
  <si>
    <t>Bio wijnen, bieren en frisdranken als forfait</t>
  </si>
  <si>
    <t>raming te betalen indien contante betaling  (max € 3000 cash):</t>
  </si>
  <si>
    <t>- Brochette met gepelde scampi's</t>
  </si>
  <si>
    <t>IJstaart ambachtelijk, speciale vorm, smaak naar keuze</t>
  </si>
  <si>
    <t>Ijstaart met foto: 15 euro per foto (min personen). Speciale garnituren mits meerprijs mogelijk.</t>
  </si>
  <si>
    <t>- frambozentaart</t>
  </si>
  <si>
    <t>- progres</t>
  </si>
  <si>
    <t>Een klassieker.</t>
  </si>
  <si>
    <t>- fruitgebakje</t>
  </si>
  <si>
    <t>- biscuit crème fraiche met coulis</t>
  </si>
  <si>
    <t>- warme appeltaart met een bolletje ijs</t>
  </si>
  <si>
    <t>- zwarte woudtaart</t>
  </si>
  <si>
    <t>Biscuit met cacaopoeder in een tasje.</t>
  </si>
  <si>
    <t>geraamd aantal kinderen 6 j. t.e.m. 11 jr. 11 maand:</t>
  </si>
  <si>
    <t>wachtbordje van lauw slaatje met gerookte zalm en scampi's</t>
  </si>
  <si>
    <t xml:space="preserve">Wijze van betaling: </t>
  </si>
  <si>
    <t xml:space="preserve">Voorkeur tafelschikking: </t>
  </si>
  <si>
    <t>Uitsplitsing per BTW tarief.</t>
  </si>
  <si>
    <t>aantal</t>
  </si>
  <si>
    <t>Totaalprijs per vol:</t>
  </si>
  <si>
    <t>Vol</t>
  </si>
  <si>
    <t>JR 1/2</t>
  </si>
  <si>
    <t>JR 1/3</t>
  </si>
  <si>
    <t>JR gratis</t>
  </si>
  <si>
    <t>totaal:</t>
  </si>
  <si>
    <t>Menu</t>
  </si>
  <si>
    <t>Totaal aan 21%</t>
  </si>
  <si>
    <t>Wenst u een factuur?</t>
  </si>
  <si>
    <r>
      <t xml:space="preserve">raming </t>
    </r>
    <r>
      <rPr>
        <b/>
        <sz val="11"/>
        <color indexed="8"/>
        <rFont val="Calibri"/>
        <family val="2"/>
        <scheme val="minor"/>
      </rPr>
      <t>algemeen</t>
    </r>
    <r>
      <rPr>
        <sz val="11"/>
        <color theme="1"/>
        <rFont val="Calibri"/>
        <family val="2"/>
        <scheme val="minor"/>
      </rPr>
      <t xml:space="preserve"> totaal:</t>
    </r>
  </si>
  <si>
    <t xml:space="preserve">Factuur: </t>
  </si>
  <si>
    <t>Voorschot reeds betaald:</t>
  </si>
  <si>
    <t>Dep. B</t>
  </si>
  <si>
    <t>Dep. A</t>
  </si>
  <si>
    <t>Voorschot wordt gesplitst over:</t>
  </si>
  <si>
    <t>x</t>
  </si>
  <si>
    <t>Totale boekwaarde:</t>
  </si>
  <si>
    <t xml:space="preserve"> volwassenen</t>
  </si>
  <si>
    <t>Input GKS:</t>
  </si>
  <si>
    <t>vol</t>
  </si>
  <si>
    <t>Verwerking voorschot</t>
  </si>
  <si>
    <t>Gestort / betaald op:</t>
  </si>
  <si>
    <t>Menu's BBQ</t>
  </si>
  <si>
    <t>Dit menu kunt u samenstellen en wijzigen via de tool Barbecue's</t>
  </si>
  <si>
    <t>Prijs per volwassene:</t>
  </si>
  <si>
    <t>Groenten en sausen</t>
  </si>
  <si>
    <t>of Receptie E met aperitiefglaasjes</t>
  </si>
  <si>
    <t>Omschrijving kan in het kader.</t>
  </si>
  <si>
    <t>Recepties hier worden overal aangepast.</t>
  </si>
  <si>
    <t>tapenades</t>
  </si>
  <si>
    <t>TIP:</t>
  </si>
  <si>
    <t>Schuimwijn van het huis (reeds inbegrepen)</t>
  </si>
  <si>
    <t>kost evenveel als</t>
  </si>
  <si>
    <t>scampi enz….</t>
  </si>
  <si>
    <t>en nog veel mogelijkheden</t>
  </si>
  <si>
    <t>- Côte à l’os</t>
  </si>
  <si>
    <t>- Steak</t>
  </si>
  <si>
    <t>bearnaise</t>
  </si>
  <si>
    <t>romige portosaus</t>
  </si>
  <si>
    <t>pepersaus</t>
  </si>
  <si>
    <t>mosterd en look,</t>
  </si>
  <si>
    <t>champignonroomsaus</t>
  </si>
  <si>
    <t>Domaine Joel Delauny Touraine  en/of Château Reynier, Bordeaux superieur,  bieren en frisdranken</t>
  </si>
  <si>
    <t>Vanilleijs, vers fruit en verse slagroom</t>
  </si>
  <si>
    <t>Vanilleijs, verse aardbeien en verse slagroom</t>
  </si>
  <si>
    <t>vers fruit, verschillende soorten sorbet, chocolademousse, roomijs</t>
  </si>
  <si>
    <t>variatie van miserable, javanais, pasteis de nata, roomsoes, speculoostaart,</t>
  </si>
  <si>
    <t xml:space="preserve">Allergenen: </t>
  </si>
  <si>
    <t>Basis dessertbuffet met:</t>
  </si>
  <si>
    <t>supp.  visgerechten / rund</t>
  </si>
  <si>
    <t>Uitgebreid dessertbuffet met:</t>
  </si>
  <si>
    <t xml:space="preserve">Chocoladebavarois en/of Miserable en/of glaasje fruitsla met perensorbet en/of </t>
  </si>
  <si>
    <t xml:space="preserve">Witte chocolademousse en/of Roomsoes met warme chocoladesaus en/of Tiramisu en/of </t>
  </si>
  <si>
    <t>Javanais en/of Gebak peer-caramel en/of mini fruittaartje.</t>
  </si>
  <si>
    <t>Neem contact op met de zaakvoerder op tel nr 0475/618058</t>
  </si>
  <si>
    <t>om hier zeker geen misverstanden over te hebben!</t>
  </si>
  <si>
    <t>Coupe met vers fruit en verse slagroom.</t>
  </si>
  <si>
    <t>Coupe met aardbeien en verse slagroom.</t>
  </si>
  <si>
    <t>U mag 2 warme sausen kiezen als u ook vis of rund kiest!</t>
  </si>
  <si>
    <t>Uitgebreid en luxueus dessertbuffet met:</t>
  </si>
  <si>
    <t>Betaling op de dag zelf (cash of bancontact), u bekomt 2% korting op het totaal</t>
  </si>
  <si>
    <t>kreeftsaus met groentebrunoise</t>
  </si>
  <si>
    <t>kreeftsaus zonder groenten</t>
  </si>
  <si>
    <t>saffraansaus</t>
  </si>
  <si>
    <t>bieslooksaus</t>
  </si>
  <si>
    <t>assortiment van mini-bavarois (framboos-passie-zwarte woud-pistache-chocolade praliné)</t>
  </si>
  <si>
    <t>dessertglaasjes (framboos-amandel - trio chocolade - mango-caramel - chocolade praliné)</t>
  </si>
  <si>
    <t>Aanpassingen in de omschrijving van de receptie doen IN het kader en alles blijft ok. Allemaal in 1 keer behalve rec &amp; bb borrels</t>
  </si>
  <si>
    <t>Het tabblad recepties en babyb bij aanpassingen niet meenemen wnat daar staan extra rfecepties op.</t>
  </si>
  <si>
    <t>Dat moet dus apart worden aangepast.</t>
  </si>
  <si>
    <t>email:</t>
  </si>
  <si>
    <t>Met tapenades:</t>
  </si>
  <si>
    <t>tonijn / pesto spread rosso /zoete peper roomkaas</t>
  </si>
  <si>
    <t xml:space="preserve"> en diverse warme en koude hapjes</t>
  </si>
  <si>
    <t>1/2 warme kreeft i.p.v. 2 andere soorten</t>
  </si>
  <si>
    <t>supple:</t>
  </si>
  <si>
    <t>supplement per stukje gebak:</t>
  </si>
  <si>
    <t>Keuze aperitiefhapjes:</t>
  </si>
  <si>
    <t>luzerne met gerookte zalm, eitjes van vliegende vis in wasabi</t>
  </si>
  <si>
    <t>preischeuten met tijgergarnalen en mini tomaat</t>
  </si>
  <si>
    <t>aperoglaasje parmaham met meloenbolletjes</t>
  </si>
  <si>
    <t>aperoglaasje parmaham met espuma van mango</t>
  </si>
  <si>
    <t>verse oester</t>
  </si>
  <si>
    <t>Taboulé met gerookte forel</t>
  </si>
  <si>
    <t>Haringhapje met curry</t>
  </si>
  <si>
    <t>Bord met olijven, kaasjes en salamietjes</t>
  </si>
  <si>
    <t>Bord met 3 tapenades (tonijn / pesto spread rosso /zoete peper roomkaas)</t>
  </si>
  <si>
    <t>Breydelspek met mosterdroomsaus</t>
  </si>
  <si>
    <t>aperoglaasje scampi</t>
  </si>
  <si>
    <t>Warme dagvis met curry</t>
  </si>
  <si>
    <t>een gevuld toastcupje</t>
  </si>
  <si>
    <t xml:space="preserve">oester met champagnesaus </t>
  </si>
  <si>
    <t>Aspergeroomsoep met koornbloemblaadjes</t>
  </si>
  <si>
    <t>Pompoensoep (sept. okt. nov.)</t>
  </si>
  <si>
    <t>Kervelroomsoep met gerookte eend</t>
  </si>
  <si>
    <t>Preiroomsoep met broccoligarnituur en gebakken spekjes</t>
  </si>
  <si>
    <t>Soepje van boschampignons met gerookte paling</t>
  </si>
  <si>
    <t>Selecteer hier uw hapjes:</t>
  </si>
  <si>
    <t>dranken inbegrepen</t>
  </si>
  <si>
    <t>gedurende 2 uur</t>
  </si>
  <si>
    <t>met huis schuimwijn,</t>
  </si>
  <si>
    <t>frisdranken en</t>
  </si>
  <si>
    <t>bieren naar believen.</t>
  </si>
  <si>
    <t>nootjes en chips inbegr.</t>
  </si>
  <si>
    <t xml:space="preserve">Assortiment van 4  </t>
  </si>
  <si>
    <t>Ook inbegrepen:</t>
  </si>
  <si>
    <t>Maak uw keuze</t>
  </si>
  <si>
    <t>hier rechts! =&gt;</t>
  </si>
  <si>
    <t>2 aperitieven pp.</t>
  </si>
  <si>
    <t>En dan is de drank naar</t>
  </si>
  <si>
    <t>believen!</t>
  </si>
  <si>
    <t>En met tapenades!</t>
  </si>
  <si>
    <t>hapjes geselecteerd.</t>
  </si>
  <si>
    <t>inbegrepen.</t>
  </si>
  <si>
    <t>Liever meer dan 4 hapjes? Geen probleem.</t>
  </si>
  <si>
    <t>aperitiefglaasjes</t>
  </si>
  <si>
    <t>Het supplement bedraagt € 1,60 per hapje</t>
  </si>
  <si>
    <t>Wij wensen geen kreeft</t>
  </si>
  <si>
    <t xml:space="preserve">Roomijs </t>
  </si>
  <si>
    <t>Bruine chocolademousse</t>
  </si>
  <si>
    <t>Pasteis de nata</t>
  </si>
  <si>
    <t>Chocoladebavarois</t>
  </si>
  <si>
    <t>Miserable</t>
  </si>
  <si>
    <t>glaasje fruitsla met perensorbet</t>
  </si>
  <si>
    <t xml:space="preserve">Witte chocolademousse </t>
  </si>
  <si>
    <t xml:space="preserve">Roomsoes met warme chocoladesaus </t>
  </si>
  <si>
    <t>Tiramisu</t>
  </si>
  <si>
    <t>Javanais</t>
  </si>
  <si>
    <t xml:space="preserve">Gebak peer-caramel </t>
  </si>
  <si>
    <t>mini fruittaartje</t>
  </si>
  <si>
    <t>Stel hieronder uw mini dessertbordje samen met minstens 4 dessertjes</t>
  </si>
  <si>
    <t xml:space="preserve">Keuze: Roomijs en/of Bruine chocolademousse en/of Pasteis de nata en/of </t>
  </si>
  <si>
    <t>matrix:</t>
  </si>
  <si>
    <t>mini kippenboutje</t>
  </si>
  <si>
    <t>ganache van foie gras met frambozenconfituur en amandelbrood</t>
  </si>
  <si>
    <t>Storting op BE 48 4631 1391 2127 min. 7 dagen voor het feest, 2% korting</t>
  </si>
  <si>
    <t>Betaling na het feest. Gelieve 40 % voorschot te storten op BE48 4631 1391 2127. Geen korting.</t>
  </si>
  <si>
    <t>Mini bagel met zalm en kruidenkaas</t>
  </si>
  <si>
    <t>Gepaneerde garnalen butterfly</t>
  </si>
  <si>
    <t>BBQ meer dan 5 soorten: per extra soort =</t>
  </si>
  <si>
    <t xml:space="preserve">Warme sausen bij BBQ 2 alleen vlees = </t>
  </si>
  <si>
    <t>Exclusiviteit voor beide zalen:</t>
  </si>
  <si>
    <t>deel 21%</t>
  </si>
  <si>
    <t>De gast die niet inbegrepen aperitief bestelt betaalt deze zelf (vb: sterke drank)</t>
  </si>
  <si>
    <t>KOUD</t>
  </si>
  <si>
    <t>crunchy sushi</t>
  </si>
  <si>
    <t>BORD</t>
  </si>
  <si>
    <t>Bord met rauwe groenten en cocktailsaus (wortel, bloemkool, radijs)</t>
  </si>
  <si>
    <t>WARM</t>
  </si>
  <si>
    <t>mini hot-dog</t>
  </si>
  <si>
    <t>frambozenbavarois</t>
  </si>
  <si>
    <t>SOEP</t>
  </si>
  <si>
    <t>Kreeftensoep</t>
  </si>
  <si>
    <t>deel 12 %</t>
  </si>
  <si>
    <t>DESSERT</t>
  </si>
  <si>
    <t>mini dame blanche (1 bol in wijnglas)</t>
  </si>
  <si>
    <t>Witte chocolademousse</t>
  </si>
  <si>
    <t>Roomsoes met warme chocoladesaus</t>
  </si>
  <si>
    <t>Gebak peer-caramel</t>
  </si>
  <si>
    <t>javanais</t>
  </si>
  <si>
    <t>Late night snacks</t>
  </si>
  <si>
    <t>overal op regel 300</t>
  </si>
  <si>
    <t>Croque uit het vuistje</t>
  </si>
  <si>
    <t>Pizza Margherita</t>
  </si>
  <si>
    <t>Belegde broodjes (2 pp)</t>
  </si>
  <si>
    <t>Braadworst</t>
  </si>
  <si>
    <t>Late night snacks:</t>
  </si>
  <si>
    <t>Keuze mogelijkheden:</t>
  </si>
  <si>
    <t>Scampi (3pp) Nantua met farfale en broccoli</t>
  </si>
  <si>
    <t>Prijzen geldig tot 31/03/2023</t>
  </si>
  <si>
    <t xml:space="preserve">Vrij groot stuk met slagroom. Foto op de taart: suppl. € 1 per stuk taart en € 12 per foto </t>
  </si>
  <si>
    <t>3) Iedere levering van dranken, voedingswaren of diensten in de  zalen is uitsluitend voorbehouden aan het Katelijnenhof, tenzij er een andere schriftelijke overeenkomst is.</t>
  </si>
  <si>
    <t>Event kan maximaal 6 uur duren.</t>
  </si>
  <si>
    <t>De bar sluit om 18u00, de zaal sluit om 18u30.</t>
  </si>
  <si>
    <t>De bar sluit om 2u30, de zaal sluit om 3u.</t>
  </si>
  <si>
    <t>Indien het event toch langer uitloopt dan het sluitingsuur wordt per begonnen uur een toeslag van € 125,00 (btw incl.) aangerekend. Geen enkel drankenforfait geldt dan nog.</t>
  </si>
  <si>
    <r>
      <t xml:space="preserve">Algemene verkoopsvoorwaarden </t>
    </r>
    <r>
      <rPr>
        <b/>
        <sz val="10"/>
        <color theme="1"/>
        <rFont val="Times New Roman"/>
        <family val="1"/>
      </rPr>
      <t>vanaf 01/11/2022</t>
    </r>
    <r>
      <rPr>
        <sz val="10"/>
        <color theme="1"/>
        <rFont val="Times New Roman"/>
        <family val="1"/>
      </rPr>
      <t>:</t>
    </r>
  </si>
  <si>
    <r>
      <t xml:space="preserve">2) </t>
    </r>
    <r>
      <rPr>
        <b/>
        <sz val="10"/>
        <color theme="1"/>
        <rFont val="Times New Roman"/>
        <family val="1"/>
      </rPr>
      <t>Annulatie</t>
    </r>
    <r>
      <rPr>
        <sz val="10"/>
        <color theme="1"/>
        <rFont val="Times New Roman"/>
        <family val="1"/>
      </rPr>
      <t xml:space="preserve"> dient schriftelijk en gedateerd te geschieden. </t>
    </r>
  </si>
  <si>
    <r>
      <t>In geval van annulatie minder dan 60 dagen voor de activiteit blijft het voorschot eigendom van het Katelijnenhof. Voor annulatie minder dan 10 dagen voor de activiteit is de klant in alle gevallen verplicht 35 % van de reservatie waarde van de gehele manifestatie te vergoeden</t>
    </r>
    <r>
      <rPr>
        <b/>
        <sz val="10"/>
        <color theme="1"/>
        <rFont val="Times New Roman"/>
        <family val="1"/>
      </rPr>
      <t xml:space="preserve">. </t>
    </r>
    <r>
      <rPr>
        <sz val="10"/>
        <color theme="1"/>
        <rFont val="Times New Roman"/>
        <family val="1"/>
      </rPr>
      <t>Bij annulatie minder dan 5 dagen voor  de activiteit is de klant in alle gevallen verplicht de reservatie waarde van de gehele manifestatie te vergoeden.</t>
    </r>
  </si>
  <si>
    <r>
      <t>4) De klant is eraan gehouden voor iedere dansavond met groot orkest een aanvraag tot toelating in te dienen bij SABAM, Rijselsestraat 51, 8500 Kortrijk, Tel : 056/210738 en alle kosten voortvloeiend uit deze aanvraag te dragen.  Voor een gewone disc-jockey betalen wij jaarlijks een vaste bijdrage</t>
    </r>
    <r>
      <rPr>
        <b/>
        <sz val="10"/>
        <color theme="1"/>
        <rFont val="Times New Roman"/>
        <family val="1"/>
      </rPr>
      <t>. Het verbruik (drank en voeding) van de DJ is ten laste van de klant. Gelet op de nieuwe geluidsnormen</t>
    </r>
    <r>
      <rPr>
        <sz val="10"/>
        <color theme="1"/>
        <rFont val="Times New Roman"/>
        <family val="1"/>
      </rPr>
      <t xml:space="preserve">, van kracht op 01/01/2013, moet de klant de DJ of elke andere persoon of toestel dat  geluid produceert verplichten zich aan deze normen te houden. De toelating voor onze zaal is – maximaal geluidsniveau &gt; 85 dB(A) LAeq,15min en ≤ 95 dB(A) LAeq,15min. Dit is ruim voldoende. </t>
    </r>
    <r>
      <rPr>
        <b/>
        <sz val="10"/>
        <color theme="1"/>
        <rFont val="Times New Roman"/>
        <family val="1"/>
      </rPr>
      <t>Alle boetes ten gevolge een overschrijding van deze voorwaarde zijn ten laste van de klant.</t>
    </r>
    <r>
      <rPr>
        <sz val="10"/>
        <color theme="1"/>
        <rFont val="Times New Roman"/>
        <family val="1"/>
      </rPr>
      <t xml:space="preserve"> Er wordt een professionele houding van elke DJ of geluidstechnicus verwacht.</t>
    </r>
  </si>
  <si>
    <r>
      <t xml:space="preserve">Het is niet toegestaan om muziek af te spelen via B2C diensten zoals </t>
    </r>
    <r>
      <rPr>
        <b/>
        <sz val="10"/>
        <color theme="1"/>
        <rFont val="Times New Roman"/>
        <family val="1"/>
      </rPr>
      <t>Spotify, Deezer, Youtube</t>
    </r>
    <r>
      <rPr>
        <sz val="10"/>
        <color theme="1"/>
        <rFont val="Times New Roman"/>
        <family val="1"/>
      </rPr>
      <t>… Dit geldt voor elke horecazaak, winkel enz… Doet de klant of zijn DJ dat toch en er volgt een boete, dan is deze ten laste van de klant.</t>
    </r>
  </si>
  <si>
    <r>
      <t xml:space="preserve">5) Alle door de klant meegebrachte materiaal dient door de klant te worden verzekerd en direct na het beëindigen van de manifestatie te worden verwijderd uit de zaal. Het Katelijnenhof behoudt het recht de leverancier te aanvaarden en voorschriften te geven om de lokalen ongeschonden te behouden. </t>
    </r>
    <r>
      <rPr>
        <b/>
        <sz val="10"/>
        <color theme="1"/>
        <rFont val="Times New Roman"/>
        <family val="1"/>
      </rPr>
      <t>Het is strikt verboden om versieringen aan de muren of plafonds te bevestigen met duimspijkers of kleefband !</t>
    </r>
    <r>
      <rPr>
        <sz val="10"/>
        <color theme="1"/>
        <rFont val="Times New Roman"/>
        <family val="1"/>
      </rPr>
      <t xml:space="preserve"> Bij beschadigingen van een deel van de muur wordt het geheel als beschadigd beschouwd.</t>
    </r>
  </si>
  <si>
    <r>
      <t xml:space="preserve">6) </t>
    </r>
    <r>
      <rPr>
        <b/>
        <sz val="10"/>
        <color theme="1"/>
        <rFont val="Times New Roman"/>
        <family val="1"/>
      </rPr>
      <t>Het gebruik van de zaal</t>
    </r>
    <r>
      <rPr>
        <sz val="10"/>
        <color theme="1"/>
        <rFont val="Times New Roman"/>
        <family val="1"/>
      </rPr>
      <t xml:space="preserve"> is strikt beperkt tot de in deze overeenkomst vastgestelde functie. Iedere wijziging in de voorheen verklaarde bestemming brengt automatisch het recht tot prijsherziening met zich mee.</t>
    </r>
  </si>
  <si>
    <r>
      <t>7) Het gebruik van de zaal is gratis van zodra het verbruik hoger ligt dan € 1250. Indien het verbruik lager ligt</t>
    </r>
    <r>
      <rPr>
        <sz val="10"/>
        <color rgb="FFFF0000"/>
        <rFont val="Times New Roman"/>
        <family val="1"/>
      </rPr>
      <t>,</t>
    </r>
    <r>
      <rPr>
        <sz val="10"/>
        <color theme="1"/>
        <rFont val="Times New Roman"/>
        <family val="1"/>
      </rPr>
      <t xml:space="preserve"> wordt het factuurbedrag opgetrokken tot € 1250. Indien uw feest cash (max € 3000) of met bancontact betaald wordt op de dag zelf krijgt u een korting van 2 % op de gehele factuur. Voor traiteurdienst gelden andere kortingsregels.</t>
    </r>
  </si>
  <si>
    <r>
      <t xml:space="preserve">8) </t>
    </r>
    <r>
      <rPr>
        <b/>
        <sz val="10"/>
        <color theme="1"/>
        <rFont val="Times New Roman"/>
        <family val="1"/>
      </rPr>
      <t>Sluitingsuren zaal:</t>
    </r>
  </si>
  <si>
    <r>
      <t xml:space="preserve">In geval van een event dat start ’s </t>
    </r>
    <r>
      <rPr>
        <b/>
        <u/>
        <sz val="10"/>
        <color theme="1"/>
        <rFont val="Times New Roman"/>
        <family val="1"/>
      </rPr>
      <t>morgens</t>
    </r>
    <r>
      <rPr>
        <b/>
        <sz val="10"/>
        <color theme="1"/>
        <rFont val="Times New Roman"/>
        <family val="1"/>
      </rPr>
      <t xml:space="preserve"> start tussen 7u en 10u59 (vb. ontbijt)</t>
    </r>
  </si>
  <si>
    <r>
      <t xml:space="preserve">In geval van een event dat start op de </t>
    </r>
    <r>
      <rPr>
        <b/>
        <u/>
        <sz val="10"/>
        <color theme="1"/>
        <rFont val="Times New Roman"/>
        <family val="1"/>
      </rPr>
      <t>middag</t>
    </r>
    <r>
      <rPr>
        <b/>
        <sz val="10"/>
        <color theme="1"/>
        <rFont val="Times New Roman"/>
        <family val="1"/>
      </rPr>
      <t xml:space="preserve"> start tussen 11u en 13u59</t>
    </r>
  </si>
  <si>
    <r>
      <t xml:space="preserve">In geval van een event dat start in de </t>
    </r>
    <r>
      <rPr>
        <b/>
        <u/>
        <sz val="10"/>
        <color theme="1"/>
        <rFont val="Times New Roman"/>
        <family val="1"/>
      </rPr>
      <t>namiddag</t>
    </r>
    <r>
      <rPr>
        <b/>
        <sz val="10"/>
        <color theme="1"/>
        <rFont val="Times New Roman"/>
        <family val="1"/>
      </rPr>
      <t xml:space="preserve"> start tussen 14u en 17u59 (vb. babyborrel)</t>
    </r>
  </si>
  <si>
    <r>
      <t xml:space="preserve">In geval van een event dat start ’s </t>
    </r>
    <r>
      <rPr>
        <b/>
        <u/>
        <sz val="10"/>
        <color theme="1"/>
        <rFont val="Times New Roman"/>
        <family val="1"/>
      </rPr>
      <t>avonds</t>
    </r>
    <r>
      <rPr>
        <b/>
        <sz val="10"/>
        <color theme="1"/>
        <rFont val="Times New Roman"/>
        <family val="1"/>
      </rPr>
      <t xml:space="preserve"> start vanaf 18u</t>
    </r>
  </si>
  <si>
    <r>
      <t xml:space="preserve">9) </t>
    </r>
    <r>
      <rPr>
        <b/>
        <sz val="10"/>
        <color theme="1"/>
        <rFont val="Times New Roman"/>
        <family val="1"/>
      </rPr>
      <t>De klant is verantwoordelijk voor de goede orde in en rond de feestzaal.</t>
    </r>
    <r>
      <rPr>
        <sz val="10"/>
        <color theme="1"/>
        <rFont val="Times New Roman"/>
        <family val="1"/>
      </rPr>
      <t xml:space="preserve"> Schade veroorzaakt door een der aanwezigen kan verhaald worden op deze persoon maar als deze om gelijk welke reden de schade niet kan vergoeden (vb: te weinig financiële middelen of de veroorzaker is onbekend) kan deze schade eveneens ondeelbaar worden verhaald op de klant , zijnde de persoon die het feest heeft besteld. </t>
    </r>
  </si>
  <si>
    <r>
      <t xml:space="preserve">10) </t>
    </r>
    <r>
      <rPr>
        <b/>
        <sz val="10"/>
        <color theme="1"/>
        <rFont val="Times New Roman"/>
        <family val="1"/>
      </rPr>
      <t>Energietoeslag.</t>
    </r>
    <r>
      <rPr>
        <sz val="10"/>
        <color theme="1"/>
        <rFont val="Times New Roman"/>
        <family val="1"/>
      </rPr>
      <t xml:space="preserve"> De energieprijzen zijn momenteel op hol geslagen. Het kan zijn dat wij genoodzaakt zijn een energietoeslag voor het gebruik van de zaal aan te rekenen. U wordt in voorkomend geval op voorhand verwittigd en mag uw feest kosteloos annuleren indien u deze niet wenst te betalen.</t>
    </r>
  </si>
  <si>
    <r>
      <t xml:space="preserve">1) Onze facturen zijn </t>
    </r>
    <r>
      <rPr>
        <b/>
        <sz val="10"/>
        <color theme="1"/>
        <rFont val="Times New Roman"/>
        <family val="1"/>
      </rPr>
      <t>contant te betalen</t>
    </r>
    <r>
      <rPr>
        <sz val="10"/>
        <color theme="1"/>
        <rFont val="Times New Roman"/>
        <family val="1"/>
      </rPr>
      <t xml:space="preserve"> bij levering van de goederen, dit is de dag van het event. Bijgevolg zal in geval van laattijdige betaling van rechtswege en zonder voorafgaande ingebrekestelling een intrest aangerekend worden van 12% per jaar op de bedragen, verschuldigd acht dagen na de vervaldag van de facturen. Tevens zal bij gebrek aan betaling na aanmaning bij gewone brief, het verschuldigde bedrag van rechtswege verhoogd worden met een forfaitaire vergoeding van 12 % met een minimum van € 50  voor bijkomende administratieve kosten, debiteurenbewaking en commerciële stoornissen. Wij behouden ons het recht voor op elk moment de leveringen te staken. Elke klacht over de kwaliteit van de geleverde goederen moet uiterlijk 24 uur na de levering worden overgemaakt. </t>
    </r>
  </si>
  <si>
    <t>Klachten in verband met facturatie kunnen slechts in aanmerking worden genomen zo zij binnen de acht dagen na ontvangst van de goederen bij aangetekende brief worden meegedeeld. In geval van betwisting zijn uitsluitend de rechtbanken van Kortrijk bevoegd. De leveringen  geschieden op risico van de bestemmeling. Er wordt uitdrukkelijk overeengekomen dat de klant door het plaatsen van een bestelling onze algemene verkoopsvoorwaarden erkent. Elke wijziging hieraan moet voorafgaandelijk in een schriftelijk akkoord worden vastgelegd.</t>
  </si>
  <si>
    <t>Joe 60&amp;70</t>
  </si>
  <si>
    <t>Joe 80&amp;90</t>
  </si>
  <si>
    <t>Joe easy</t>
  </si>
  <si>
    <t>Joe lage landen</t>
  </si>
  <si>
    <t>MNM</t>
  </si>
  <si>
    <t>MNM hits</t>
  </si>
  <si>
    <t>Nostalgie</t>
  </si>
  <si>
    <t>Q-foute radio</t>
  </si>
  <si>
    <t>Q-Max hits</t>
  </si>
  <si>
    <t>Q Music</t>
  </si>
  <si>
    <t>Radio 2 Bene Bene</t>
  </si>
  <si>
    <t>Radio 2 West-Vlaanderen</t>
  </si>
  <si>
    <t>Radio 1</t>
  </si>
  <si>
    <t>Studio Brussel</t>
  </si>
  <si>
    <t>Studio Brussel de tijdloze</t>
  </si>
  <si>
    <t>Top Radio</t>
  </si>
  <si>
    <t>Top Versuz Radio</t>
  </si>
  <si>
    <t>NRJ</t>
  </si>
  <si>
    <t>Klara</t>
  </si>
  <si>
    <t>Radio Bingo</t>
  </si>
  <si>
    <t>Joe</t>
  </si>
  <si>
    <t>Geen voorkeur</t>
  </si>
  <si>
    <t>Keuze achtergrondmuziek:</t>
  </si>
  <si>
    <t>Cd’s van het Katelijnenhof</t>
  </si>
  <si>
    <t>Eigen Cd's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</si>
</sst>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quot;€&quot;\ \-#,##0.00"/>
    <numFmt numFmtId="165" formatCode="&quot;€&quot;\ #,##0.00"/>
    <numFmt numFmtId="166" formatCode="d/mm/yyyy;@"/>
  </numFmts>
  <fonts count="40" x14ac:knownFonts="1">
    <font>
      <sz val="11"/>
      <color theme="1"/>
      <name val="Calibri"/>
      <family val="2"/>
      <scheme val="minor"/>
    </font>
    <font>
      <b/>
      <sz val="11"/>
      <color indexed="8"/>
      <name val="Calibri"/>
      <family val="2"/>
    </font>
    <font>
      <b/>
      <sz val="12"/>
      <color indexed="8"/>
      <name val="Calibri"/>
      <family val="2"/>
    </font>
    <font>
      <b/>
      <sz val="20"/>
      <color indexed="8"/>
      <name val="Calibri"/>
      <family val="2"/>
    </font>
    <font>
      <b/>
      <u/>
      <sz val="11"/>
      <color indexed="8"/>
      <name val="Calibri"/>
      <family val="2"/>
    </font>
    <font>
      <b/>
      <sz val="20"/>
      <name val="Calibri"/>
      <family val="2"/>
    </font>
    <font>
      <b/>
      <u/>
      <sz val="14"/>
      <color indexed="8"/>
      <name val="Calibri"/>
      <family val="2"/>
    </font>
    <font>
      <b/>
      <sz val="14"/>
      <color indexed="8"/>
      <name val="Calibri"/>
      <family val="2"/>
    </font>
    <font>
      <sz val="11"/>
      <color indexed="8"/>
      <name val="Arial"/>
      <family val="2"/>
    </font>
    <font>
      <sz val="11"/>
      <color theme="0"/>
      <name val="Calibri"/>
      <family val="2"/>
      <scheme val="minor"/>
    </font>
    <font>
      <b/>
      <sz val="11"/>
      <color theme="1"/>
      <name val="Calibri"/>
      <family val="2"/>
      <scheme val="minor"/>
    </font>
    <font>
      <sz val="11"/>
      <color theme="2" tint="-0.749992370372631"/>
      <name val="Calibri"/>
      <family val="2"/>
      <scheme val="minor"/>
    </font>
    <font>
      <b/>
      <sz val="11"/>
      <color theme="2" tint="-0.74999237037263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b/>
      <sz val="14"/>
      <color theme="2" tint="-0.749992370372631"/>
      <name val="Calibri"/>
      <family val="2"/>
      <scheme val="minor"/>
    </font>
    <font>
      <sz val="20"/>
      <color theme="1"/>
      <name val="Calibri"/>
      <family val="2"/>
      <scheme val="minor"/>
    </font>
    <font>
      <b/>
      <sz val="11"/>
      <color theme="1"/>
      <name val="Arial"/>
      <family val="2"/>
    </font>
    <font>
      <sz val="8"/>
      <color theme="1"/>
      <name val="Calibri"/>
      <family val="2"/>
      <scheme val="minor"/>
    </font>
    <font>
      <sz val="1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b/>
      <sz val="11"/>
      <color indexed="8"/>
      <name val="Calibri"/>
      <family val="2"/>
      <scheme val="minor"/>
    </font>
    <font>
      <b/>
      <sz val="15"/>
      <name val="Calibri"/>
      <family val="2"/>
      <scheme val="minor"/>
    </font>
    <font>
      <sz val="9"/>
      <color theme="1"/>
      <name val="Calibri"/>
      <family val="2"/>
      <scheme val="minor"/>
    </font>
    <font>
      <i/>
      <sz val="8"/>
      <color theme="1"/>
      <name val="Calibri"/>
      <family val="2"/>
      <scheme val="minor"/>
    </font>
    <font>
      <sz val="11"/>
      <color rgb="FFFF0000"/>
      <name val="Calibri"/>
      <family val="2"/>
      <scheme val="minor"/>
    </font>
    <font>
      <b/>
      <sz val="11"/>
      <color theme="0"/>
      <name val="Calibri"/>
      <family val="2"/>
      <scheme val="minor"/>
    </font>
    <font>
      <sz val="11"/>
      <color theme="0"/>
      <name val="Arial"/>
      <family val="2"/>
    </font>
    <font>
      <b/>
      <sz val="16"/>
      <color theme="0"/>
      <name val="Calibri"/>
      <family val="2"/>
      <scheme val="minor"/>
    </font>
    <font>
      <sz val="12"/>
      <color theme="0"/>
      <name val="Arial"/>
      <family val="2"/>
    </font>
    <font>
      <b/>
      <i/>
      <sz val="12"/>
      <color theme="0"/>
      <name val="Arial"/>
      <family val="2"/>
    </font>
    <font>
      <sz val="11"/>
      <color rgb="FF000000"/>
      <name val="Calibri"/>
      <family val="2"/>
    </font>
    <font>
      <sz val="10"/>
      <color theme="1"/>
      <name val="Times New Roman"/>
      <family val="1"/>
    </font>
    <font>
      <b/>
      <sz val="10"/>
      <color theme="1"/>
      <name val="Times New Roman"/>
      <family val="1"/>
    </font>
    <font>
      <sz val="10"/>
      <color rgb="FFFF0000"/>
      <name val="Times New Roman"/>
      <family val="1"/>
    </font>
    <font>
      <b/>
      <u/>
      <sz val="10"/>
      <color theme="1"/>
      <name val="Times New Roman"/>
      <family val="1"/>
    </font>
  </fonts>
  <fills count="9">
    <fill>
      <patternFill patternType="none"/>
    </fill>
    <fill>
      <patternFill patternType="gray125"/>
    </fill>
    <fill>
      <patternFill patternType="solid">
        <fgColor rgb="FFFFC00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1">
    <xf numFmtId="0" fontId="0" fillId="0" borderId="0"/>
  </cellStyleXfs>
  <cellXfs count="187">
    <xf numFmtId="0" fontId="0" fillId="0" borderId="0" xfId="0"/>
    <xf numFmtId="0" fontId="11" fillId="0" borderId="0" xfId="0" applyFont="1" applyFill="1"/>
    <xf numFmtId="0" fontId="12" fillId="0" borderId="0" xfId="0" applyFont="1" applyFill="1"/>
    <xf numFmtId="0" fontId="13" fillId="0" borderId="0" xfId="0" applyFont="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14" fillId="0" borderId="0" xfId="0" applyFont="1" applyAlignment="1">
      <alignment horizontal="right"/>
    </xf>
    <xf numFmtId="0" fontId="15" fillId="0" borderId="0" xfId="0" applyFont="1"/>
    <xf numFmtId="2" fontId="0" fillId="0" borderId="0" xfId="0" applyNumberFormat="1"/>
    <xf numFmtId="2" fontId="0" fillId="0" borderId="3" xfId="0" quotePrefix="1" applyNumberFormat="1" applyBorder="1" applyAlignment="1">
      <alignment horizontal="center"/>
    </xf>
    <xf numFmtId="2" fontId="0" fillId="0" borderId="0" xfId="0" applyNumberFormat="1" applyAlignment="1">
      <alignment horizontal="center"/>
    </xf>
    <xf numFmtId="2" fontId="0" fillId="0" borderId="3" xfId="0" applyNumberFormat="1" applyBorder="1" applyAlignment="1">
      <alignment horizontal="center"/>
    </xf>
    <xf numFmtId="0" fontId="16" fillId="0" borderId="0" xfId="0" applyFont="1" applyAlignment="1">
      <alignment horizontal="left"/>
    </xf>
    <xf numFmtId="0" fontId="10" fillId="0" borderId="0" xfId="0" applyFont="1"/>
    <xf numFmtId="0" fontId="9" fillId="0" borderId="0" xfId="0" applyFont="1"/>
    <xf numFmtId="2" fontId="0" fillId="0" borderId="0" xfId="0" applyNumberFormat="1" applyAlignment="1">
      <alignment horizontal="right"/>
    </xf>
    <xf numFmtId="2" fontId="14" fillId="3" borderId="4" xfId="0" applyNumberFormat="1" applyFont="1" applyFill="1" applyBorder="1" applyAlignment="1">
      <alignment horizontal="right"/>
    </xf>
    <xf numFmtId="2" fontId="0" fillId="0" borderId="0" xfId="0" applyNumberFormat="1" applyBorder="1" applyAlignment="1">
      <alignment horizontal="center"/>
    </xf>
    <xf numFmtId="2" fontId="0" fillId="0" borderId="0" xfId="0" quotePrefix="1" applyNumberFormat="1" applyBorder="1" applyAlignment="1">
      <alignment horizontal="left"/>
    </xf>
    <xf numFmtId="0" fontId="0" fillId="2" borderId="0" xfId="0" applyFill="1" applyAlignment="1">
      <alignment horizontal="center"/>
    </xf>
    <xf numFmtId="0" fontId="0" fillId="4" borderId="0" xfId="0" applyFill="1" applyProtection="1">
      <protection locked="0" hidden="1"/>
    </xf>
    <xf numFmtId="0" fontId="0" fillId="0" borderId="0" xfId="0" applyAlignment="1">
      <alignment horizontal="right"/>
    </xf>
    <xf numFmtId="14" fontId="0" fillId="4" borderId="0" xfId="0" applyNumberFormat="1" applyFill="1" applyProtection="1">
      <protection locked="0" hidden="1"/>
    </xf>
    <xf numFmtId="0" fontId="0" fillId="0" borderId="0" xfId="0" applyBorder="1" applyAlignment="1">
      <alignment horizontal="right"/>
    </xf>
    <xf numFmtId="0" fontId="9" fillId="0" borderId="0" xfId="0" applyFont="1" applyFill="1"/>
    <xf numFmtId="0" fontId="17" fillId="5" borderId="0" xfId="0" applyFont="1" applyFill="1"/>
    <xf numFmtId="0" fontId="10" fillId="6" borderId="0" xfId="0" applyFont="1" applyFill="1"/>
    <xf numFmtId="0" fontId="0" fillId="6" borderId="0" xfId="0" applyFill="1"/>
    <xf numFmtId="0" fontId="18" fillId="6" borderId="5" xfId="0" applyFont="1" applyFill="1" applyBorder="1"/>
    <xf numFmtId="0" fontId="0" fillId="6" borderId="6" xfId="0" applyFill="1" applyBorder="1"/>
    <xf numFmtId="2" fontId="0" fillId="6" borderId="7" xfId="0" applyNumberFormat="1" applyFill="1" applyBorder="1"/>
    <xf numFmtId="0" fontId="0" fillId="6" borderId="8" xfId="0" applyFont="1" applyFill="1" applyBorder="1"/>
    <xf numFmtId="0" fontId="0" fillId="6" borderId="0" xfId="0" applyFill="1" applyBorder="1"/>
    <xf numFmtId="2" fontId="0" fillId="6" borderId="9" xfId="0" applyNumberFormat="1" applyFill="1" applyBorder="1"/>
    <xf numFmtId="2" fontId="0" fillId="6" borderId="9" xfId="0" applyNumberFormat="1" applyFill="1" applyBorder="1" applyAlignment="1">
      <alignment horizontal="right"/>
    </xf>
    <xf numFmtId="0" fontId="0" fillId="6" borderId="10" xfId="0" applyFont="1" applyFill="1" applyBorder="1"/>
    <xf numFmtId="0" fontId="0" fillId="6" borderId="11" xfId="0" applyFill="1" applyBorder="1"/>
    <xf numFmtId="0" fontId="0" fillId="6" borderId="8" xfId="0" applyFill="1" applyBorder="1"/>
    <xf numFmtId="0" fontId="0" fillId="6" borderId="0" xfId="0" applyFill="1" applyBorder="1" applyAlignment="1">
      <alignment horizontal="right"/>
    </xf>
    <xf numFmtId="0" fontId="0" fillId="6" borderId="9" xfId="0" applyFill="1" applyBorder="1" applyAlignment="1">
      <alignment horizontal="right"/>
    </xf>
    <xf numFmtId="0" fontId="0" fillId="6" borderId="10" xfId="0" applyFill="1" applyBorder="1"/>
    <xf numFmtId="0" fontId="0" fillId="6" borderId="13" xfId="0" applyFill="1" applyBorder="1"/>
    <xf numFmtId="0" fontId="0" fillId="6" borderId="14" xfId="0" applyFill="1" applyBorder="1"/>
    <xf numFmtId="2" fontId="0" fillId="6" borderId="15" xfId="0" applyNumberFormat="1" applyFill="1" applyBorder="1"/>
    <xf numFmtId="2" fontId="0" fillId="6" borderId="8" xfId="0" applyNumberFormat="1" applyFill="1" applyBorder="1"/>
    <xf numFmtId="2" fontId="0" fillId="6" borderId="0" xfId="0" applyNumberFormat="1" applyFill="1" applyBorder="1"/>
    <xf numFmtId="2" fontId="0" fillId="6" borderId="12" xfId="0" applyNumberFormat="1" applyFill="1" applyBorder="1" applyAlignment="1">
      <alignment horizontal="right"/>
    </xf>
    <xf numFmtId="2" fontId="9" fillId="0" borderId="0" xfId="0" applyNumberFormat="1" applyFont="1" applyAlignment="1">
      <alignment horizontal="right"/>
    </xf>
    <xf numFmtId="2" fontId="9" fillId="0" borderId="0" xfId="0" applyNumberFormat="1" applyFont="1"/>
    <xf numFmtId="2" fontId="0" fillId="6" borderId="0" xfId="0" applyNumberFormat="1" applyFill="1" applyBorder="1" applyAlignment="1">
      <alignment horizontal="right"/>
    </xf>
    <xf numFmtId="0" fontId="0" fillId="0" borderId="0" xfId="0" applyAlignment="1">
      <alignment horizontal="left"/>
    </xf>
    <xf numFmtId="0" fontId="0" fillId="0" borderId="0" xfId="0" applyFill="1" applyBorder="1" applyAlignment="1">
      <alignment horizontal="right"/>
    </xf>
    <xf numFmtId="165" fontId="0" fillId="6" borderId="4" xfId="0" applyNumberFormat="1" applyFill="1" applyBorder="1"/>
    <xf numFmtId="0" fontId="19" fillId="0" borderId="0" xfId="0" applyFont="1" applyAlignment="1">
      <alignment vertical="center"/>
    </xf>
    <xf numFmtId="0" fontId="0" fillId="0" borderId="0" xfId="0" applyAlignment="1"/>
    <xf numFmtId="164" fontId="0" fillId="4" borderId="0" xfId="0" applyNumberFormat="1" applyFill="1" applyProtection="1">
      <protection locked="0" hidden="1"/>
    </xf>
    <xf numFmtId="0" fontId="0" fillId="4" borderId="0" xfId="0" applyFill="1" applyProtection="1">
      <protection locked="0" hidden="1"/>
    </xf>
    <xf numFmtId="0" fontId="20" fillId="0" borderId="0" xfId="0" applyFont="1" applyAlignment="1">
      <alignment horizontal="right" vertical="center"/>
    </xf>
    <xf numFmtId="0" fontId="20" fillId="0" borderId="0" xfId="0" applyFont="1"/>
    <xf numFmtId="2" fontId="20" fillId="0" borderId="0" xfId="0" applyNumberFormat="1" applyFont="1" applyAlignment="1">
      <alignment horizontal="right" vertical="center"/>
    </xf>
    <xf numFmtId="2" fontId="10" fillId="0" borderId="0" xfId="0" applyNumberFormat="1" applyFont="1" applyAlignment="1">
      <alignment horizontal="right"/>
    </xf>
    <xf numFmtId="0" fontId="21" fillId="0" borderId="0" xfId="0" applyFont="1"/>
    <xf numFmtId="0" fontId="0" fillId="4" borderId="0" xfId="0" applyFill="1" applyProtection="1">
      <protection locked="0"/>
    </xf>
    <xf numFmtId="0" fontId="10" fillId="0" borderId="0" xfId="0" applyFont="1" applyAlignment="1">
      <alignment horizontal="right"/>
    </xf>
    <xf numFmtId="0" fontId="0" fillId="0" borderId="0" xfId="0" applyFont="1" applyAlignment="1"/>
    <xf numFmtId="0" fontId="22" fillId="0" borderId="0" xfId="0" applyFont="1"/>
    <xf numFmtId="0" fontId="0" fillId="0" borderId="0" xfId="0" applyFont="1"/>
    <xf numFmtId="0" fontId="23" fillId="0" borderId="0" xfId="0" applyFont="1" applyAlignment="1">
      <alignment vertical="center"/>
    </xf>
    <xf numFmtId="0" fontId="0" fillId="0" borderId="0" xfId="0" applyFont="1" applyAlignment="1">
      <alignment horizontal="right"/>
    </xf>
    <xf numFmtId="2" fontId="0" fillId="0" borderId="0" xfId="0" applyNumberFormat="1" applyFont="1"/>
    <xf numFmtId="0" fontId="0" fillId="0" borderId="0" xfId="0" quotePrefix="1" applyFont="1"/>
    <xf numFmtId="0" fontId="23" fillId="0" borderId="0" xfId="0" applyFont="1" applyAlignment="1">
      <alignment horizontal="right" vertical="center"/>
    </xf>
    <xf numFmtId="0" fontId="0" fillId="0" borderId="0" xfId="0" applyFont="1" applyAlignment="1">
      <alignment horizontal="left"/>
    </xf>
    <xf numFmtId="0" fontId="0" fillId="5" borderId="19" xfId="0" applyFont="1" applyFill="1" applyBorder="1" applyAlignment="1">
      <alignment horizontal="center"/>
    </xf>
    <xf numFmtId="0" fontId="0" fillId="5" borderId="21" xfId="0" applyFont="1" applyFill="1" applyBorder="1" applyAlignment="1">
      <alignment horizontal="center"/>
    </xf>
    <xf numFmtId="0" fontId="0" fillId="0" borderId="0" xfId="0" applyFont="1" applyAlignment="1">
      <alignment horizontal="center"/>
    </xf>
    <xf numFmtId="0" fontId="0" fillId="2" borderId="20" xfId="0" applyFont="1" applyFill="1" applyBorder="1" applyAlignment="1">
      <alignment horizontal="center"/>
    </xf>
    <xf numFmtId="2" fontId="0" fillId="2" borderId="20" xfId="0" applyNumberFormat="1" applyFont="1" applyFill="1" applyBorder="1" applyAlignment="1">
      <alignment horizontal="center"/>
    </xf>
    <xf numFmtId="0" fontId="0" fillId="7" borderId="0" xfId="0" applyFont="1" applyFill="1"/>
    <xf numFmtId="0" fontId="0" fillId="7" borderId="0" xfId="0" applyFont="1" applyFill="1" applyAlignment="1">
      <alignment horizontal="right"/>
    </xf>
    <xf numFmtId="0" fontId="24" fillId="0" borderId="0" xfId="0" applyFont="1" applyAlignment="1">
      <alignment vertical="center"/>
    </xf>
    <xf numFmtId="14" fontId="0" fillId="0" borderId="0" xfId="0" applyNumberFormat="1" applyFont="1"/>
    <xf numFmtId="0" fontId="24" fillId="0" borderId="0" xfId="0" applyFont="1" applyAlignment="1">
      <alignment horizontal="right" vertical="center"/>
    </xf>
    <xf numFmtId="165" fontId="0" fillId="0" borderId="0" xfId="0" applyNumberFormat="1" applyFont="1"/>
    <xf numFmtId="2" fontId="0" fillId="0" borderId="0" xfId="0" applyNumberFormat="1" applyFont="1" applyAlignment="1">
      <alignment horizontal="right"/>
    </xf>
    <xf numFmtId="0" fontId="0" fillId="0" borderId="0" xfId="0" applyFont="1" applyBorder="1"/>
    <xf numFmtId="0" fontId="0" fillId="0" borderId="11" xfId="0" applyFont="1" applyBorder="1"/>
    <xf numFmtId="0" fontId="26" fillId="0" borderId="0" xfId="0" applyNumberFormat="1" applyFont="1" applyFill="1" applyBorder="1" applyAlignment="1" applyProtection="1"/>
    <xf numFmtId="0" fontId="23" fillId="0" borderId="0" xfId="0" applyFont="1" applyBorder="1" applyAlignment="1">
      <alignment horizontal="center" vertical="center"/>
    </xf>
    <xf numFmtId="0" fontId="0" fillId="0" borderId="0" xfId="0" applyFont="1" applyFill="1" applyAlignment="1">
      <alignment horizontal="right"/>
    </xf>
    <xf numFmtId="0" fontId="20" fillId="0" borderId="0" xfId="0" applyFont="1" applyAlignment="1">
      <alignment horizontal="center"/>
    </xf>
    <xf numFmtId="2" fontId="20" fillId="0" borderId="20" xfId="0" applyNumberFormat="1" applyFont="1" applyBorder="1"/>
    <xf numFmtId="2" fontId="20" fillId="0" borderId="20" xfId="0" applyNumberFormat="1" applyFont="1" applyBorder="1" applyAlignment="1">
      <alignment horizontal="right"/>
    </xf>
    <xf numFmtId="0" fontId="0" fillId="0" borderId="0" xfId="0" applyFont="1" applyFill="1" applyBorder="1" applyAlignment="1">
      <alignment horizontal="right"/>
    </xf>
    <xf numFmtId="2" fontId="20" fillId="0" borderId="22" xfId="0" applyNumberFormat="1" applyFont="1" applyBorder="1"/>
    <xf numFmtId="2" fontId="20" fillId="0" borderId="22" xfId="0" applyNumberFormat="1" applyFont="1" applyBorder="1" applyAlignment="1">
      <alignment horizontal="right"/>
    </xf>
    <xf numFmtId="2" fontId="20" fillId="0" borderId="0" xfId="0" applyNumberFormat="1" applyFont="1" applyBorder="1" applyAlignment="1">
      <alignment horizontal="right"/>
    </xf>
    <xf numFmtId="2" fontId="20" fillId="0" borderId="23" xfId="0" applyNumberFormat="1" applyFont="1" applyBorder="1"/>
    <xf numFmtId="2" fontId="20" fillId="0" borderId="23" xfId="0" applyNumberFormat="1" applyFont="1" applyBorder="1" applyAlignment="1">
      <alignment horizontal="right"/>
    </xf>
    <xf numFmtId="2" fontId="0" fillId="0" borderId="24" xfId="0" applyNumberFormat="1" applyFont="1" applyBorder="1" applyAlignment="1">
      <alignment horizontal="center"/>
    </xf>
    <xf numFmtId="2" fontId="0" fillId="0" borderId="25" xfId="0" applyNumberFormat="1" applyFont="1" applyBorder="1" applyAlignment="1">
      <alignment horizontal="center"/>
    </xf>
    <xf numFmtId="0" fontId="0" fillId="0" borderId="0" xfId="0" applyFont="1" applyAlignment="1">
      <alignment vertical="top" wrapText="1"/>
    </xf>
    <xf numFmtId="0" fontId="0" fillId="0" borderId="20" xfId="0" applyFont="1" applyBorder="1" applyAlignment="1">
      <alignment horizontal="center"/>
    </xf>
    <xf numFmtId="2" fontId="0" fillId="0" borderId="20" xfId="0" applyNumberFormat="1" applyFont="1" applyBorder="1" applyAlignment="1">
      <alignment horizontal="center"/>
    </xf>
    <xf numFmtId="9" fontId="0" fillId="0" borderId="20" xfId="0" applyNumberFormat="1" applyFont="1" applyBorder="1" applyAlignment="1">
      <alignment horizontal="center"/>
    </xf>
    <xf numFmtId="0" fontId="27" fillId="0" borderId="0" xfId="0" applyFont="1" applyAlignment="1">
      <alignment horizontal="right"/>
    </xf>
    <xf numFmtId="0" fontId="0" fillId="2" borderId="27" xfId="0" applyFont="1" applyFill="1" applyBorder="1" applyAlignment="1">
      <alignment horizontal="center"/>
    </xf>
    <xf numFmtId="0" fontId="0" fillId="8" borderId="1" xfId="0" applyFont="1" applyFill="1" applyBorder="1" applyAlignment="1">
      <alignment horizontal="center"/>
    </xf>
    <xf numFmtId="0" fontId="28" fillId="0" borderId="0" xfId="0" applyFont="1" applyBorder="1"/>
    <xf numFmtId="0" fontId="0" fillId="0" borderId="29" xfId="0" applyFont="1" applyBorder="1" applyAlignment="1">
      <alignment horizontal="center"/>
    </xf>
    <xf numFmtId="0" fontId="0" fillId="0" borderId="18" xfId="0" applyFont="1" applyBorder="1"/>
    <xf numFmtId="0" fontId="0" fillId="0" borderId="30" xfId="0" applyFont="1" applyBorder="1" applyAlignment="1">
      <alignment horizontal="center"/>
    </xf>
    <xf numFmtId="0" fontId="0" fillId="0" borderId="9" xfId="0" applyFont="1" applyBorder="1"/>
    <xf numFmtId="0" fontId="0" fillId="0" borderId="31" xfId="0" applyFont="1" applyBorder="1" applyAlignment="1">
      <alignment horizontal="center"/>
    </xf>
    <xf numFmtId="0" fontId="0" fillId="0" borderId="33"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2" fontId="0" fillId="0" borderId="35" xfId="0" applyNumberFormat="1" applyFont="1" applyBorder="1" applyAlignment="1">
      <alignment horizontal="center"/>
    </xf>
    <xf numFmtId="9" fontId="0" fillId="0" borderId="35" xfId="0" applyNumberFormat="1" applyFont="1" applyBorder="1" applyAlignment="1">
      <alignment horizontal="center"/>
    </xf>
    <xf numFmtId="165" fontId="0" fillId="0" borderId="0" xfId="0" applyNumberFormat="1" applyFont="1" applyFill="1"/>
    <xf numFmtId="0" fontId="0" fillId="0" borderId="0" xfId="0" applyFont="1" applyFill="1" applyAlignment="1">
      <alignment vertical="top" wrapText="1"/>
    </xf>
    <xf numFmtId="0" fontId="0" fillId="4" borderId="0" xfId="0" applyFill="1"/>
    <xf numFmtId="0" fontId="0" fillId="2" borderId="22" xfId="0" applyFill="1" applyBorder="1"/>
    <xf numFmtId="0" fontId="0" fillId="2" borderId="23" xfId="0" applyFill="1" applyBorder="1"/>
    <xf numFmtId="0" fontId="0" fillId="2" borderId="20" xfId="0" applyFill="1" applyBorder="1"/>
    <xf numFmtId="0" fontId="29" fillId="0" borderId="0" xfId="0" applyFont="1"/>
    <xf numFmtId="0" fontId="29" fillId="0" borderId="0" xfId="0" applyFont="1" applyFill="1"/>
    <xf numFmtId="0" fontId="36" fillId="0" borderId="0" xfId="0" applyFont="1" applyAlignment="1">
      <alignment horizontal="justify" vertical="center"/>
    </xf>
    <xf numFmtId="0" fontId="37" fillId="0" borderId="0" xfId="0" applyFont="1" applyAlignment="1">
      <alignment horizontal="justify" vertical="center"/>
    </xf>
    <xf numFmtId="0" fontId="10" fillId="0" borderId="0" xfId="0" applyFont="1" applyBorder="1"/>
    <xf numFmtId="0" fontId="0" fillId="4" borderId="0" xfId="0" applyFill="1" applyAlignment="1" applyProtection="1">
      <protection locked="0" hidden="1"/>
    </xf>
    <xf numFmtId="166" fontId="9" fillId="0" borderId="0" xfId="0" applyNumberFormat="1" applyFont="1"/>
    <xf numFmtId="165" fontId="9" fillId="5" borderId="0" xfId="0" applyNumberFormat="1" applyFont="1" applyFill="1"/>
    <xf numFmtId="0" fontId="9" fillId="0" borderId="0" xfId="0" applyFont="1" applyAlignment="1">
      <alignment textRotation="45"/>
    </xf>
    <xf numFmtId="0" fontId="9" fillId="0" borderId="16" xfId="0" applyFont="1" applyBorder="1"/>
    <xf numFmtId="0" fontId="9" fillId="0" borderId="17" xfId="0" applyFont="1" applyBorder="1"/>
    <xf numFmtId="0" fontId="9" fillId="0" borderId="18" xfId="0" applyFont="1" applyBorder="1"/>
    <xf numFmtId="0" fontId="9" fillId="0" borderId="8" xfId="0" applyFont="1" applyBorder="1"/>
    <xf numFmtId="0" fontId="9" fillId="0" borderId="9" xfId="0" applyFont="1" applyBorder="1"/>
    <xf numFmtId="0" fontId="9" fillId="0" borderId="13" xfId="0" applyFont="1" applyBorder="1"/>
    <xf numFmtId="0" fontId="9" fillId="0" borderId="14" xfId="0" applyFont="1" applyBorder="1"/>
    <xf numFmtId="0" fontId="9" fillId="0" borderId="15" xfId="0" applyFont="1" applyBorder="1"/>
    <xf numFmtId="0" fontId="30" fillId="0" borderId="0" xfId="0" applyFont="1"/>
    <xf numFmtId="165" fontId="9" fillId="0" borderId="0" xfId="0" applyNumberFormat="1" applyFont="1"/>
    <xf numFmtId="0" fontId="9" fillId="0" borderId="0" xfId="0" applyFont="1" applyAlignment="1">
      <alignment horizontal="center"/>
    </xf>
    <xf numFmtId="2" fontId="9" fillId="5" borderId="0" xfId="0" applyNumberFormat="1" applyFont="1" applyFill="1"/>
    <xf numFmtId="0" fontId="9" fillId="0" borderId="0" xfId="0" quotePrefix="1" applyFont="1"/>
    <xf numFmtId="0" fontId="31" fillId="0" borderId="0" xfId="0" applyFont="1" applyAlignment="1">
      <alignment vertical="center"/>
    </xf>
    <xf numFmtId="0" fontId="32" fillId="0" borderId="0" xfId="0" applyFont="1"/>
    <xf numFmtId="0" fontId="30" fillId="0" borderId="16" xfId="0" applyFont="1" applyBorder="1"/>
    <xf numFmtId="0" fontId="30" fillId="0" borderId="17" xfId="0" applyFont="1" applyBorder="1"/>
    <xf numFmtId="2" fontId="9" fillId="0" borderId="17" xfId="0" applyNumberFormat="1" applyFont="1" applyBorder="1"/>
    <xf numFmtId="0" fontId="30" fillId="0" borderId="18" xfId="0" applyFont="1" applyBorder="1"/>
    <xf numFmtId="2" fontId="9" fillId="5" borderId="8" xfId="0" applyNumberFormat="1" applyFont="1" applyFill="1" applyBorder="1"/>
    <xf numFmtId="0" fontId="30" fillId="0" borderId="9" xfId="0" applyFont="1" applyBorder="1"/>
    <xf numFmtId="0" fontId="9" fillId="4" borderId="0" xfId="0" applyFont="1" applyFill="1"/>
    <xf numFmtId="0" fontId="31" fillId="0" borderId="0" xfId="0" applyFont="1"/>
    <xf numFmtId="2" fontId="33" fillId="0" borderId="0" xfId="0" applyNumberFormat="1" applyFont="1"/>
    <xf numFmtId="2" fontId="34" fillId="0" borderId="0" xfId="0" applyNumberFormat="1" applyFont="1" applyAlignment="1">
      <alignment horizontal="left"/>
    </xf>
    <xf numFmtId="0" fontId="0" fillId="4" borderId="0" xfId="0" applyFill="1" applyAlignment="1" applyProtection="1">
      <alignment horizontal="left"/>
      <protection locked="0" hidden="1"/>
    </xf>
    <xf numFmtId="0" fontId="0" fillId="4" borderId="0" xfId="0" applyFill="1" applyAlignment="1" applyProtection="1">
      <alignment horizontal="left" vertical="top" wrapText="1"/>
      <protection locked="0" hidden="1"/>
    </xf>
    <xf numFmtId="0" fontId="12" fillId="0" borderId="0" xfId="0" applyFont="1" applyFill="1" applyAlignment="1">
      <alignment horizontal="left" vertical="top" wrapText="1"/>
    </xf>
    <xf numFmtId="0" fontId="0" fillId="5" borderId="1" xfId="0" applyFont="1" applyFill="1" applyBorder="1" applyAlignment="1">
      <alignment horizontal="center" vertical="top" wrapText="1"/>
    </xf>
    <xf numFmtId="0" fontId="0" fillId="5" borderId="3" xfId="0" applyFont="1" applyFill="1" applyBorder="1" applyAlignment="1">
      <alignment horizontal="center" vertical="top" wrapText="1"/>
    </xf>
    <xf numFmtId="0" fontId="0" fillId="0" borderId="0" xfId="0" applyFont="1" applyAlignment="1">
      <alignment horizontal="left" vertical="top" wrapText="1"/>
    </xf>
    <xf numFmtId="0" fontId="0" fillId="0" borderId="1" xfId="0" applyFont="1" applyBorder="1" applyAlignment="1">
      <alignment horizontal="center" vertical="center" wrapText="1"/>
    </xf>
    <xf numFmtId="0" fontId="0" fillId="0" borderId="26" xfId="0" applyFont="1" applyBorder="1" applyAlignment="1">
      <alignment horizontal="center" vertical="center" wrapText="1"/>
    </xf>
    <xf numFmtId="0" fontId="20" fillId="0" borderId="2" xfId="0" applyFont="1" applyBorder="1" applyAlignment="1">
      <alignment horizontal="center" wrapText="1"/>
    </xf>
    <xf numFmtId="0" fontId="20" fillId="0" borderId="26" xfId="0" applyFont="1" applyBorder="1" applyAlignment="1">
      <alignment horizontal="center" wrapText="1"/>
    </xf>
    <xf numFmtId="14" fontId="0" fillId="8" borderId="19" xfId="0" applyNumberFormat="1" applyFont="1" applyFill="1" applyBorder="1" applyAlignment="1">
      <alignment horizontal="left" vertical="top"/>
    </xf>
    <xf numFmtId="0" fontId="0" fillId="8" borderId="28" xfId="0" applyFont="1" applyFill="1" applyBorder="1" applyAlignment="1">
      <alignment horizontal="left" vertical="top"/>
    </xf>
    <xf numFmtId="0" fontId="24" fillId="0" borderId="31" xfId="0" applyFont="1" applyBorder="1" applyAlignment="1">
      <alignment horizontal="left" vertical="top" wrapText="1"/>
    </xf>
    <xf numFmtId="0" fontId="24" fillId="0" borderId="20" xfId="0" applyFont="1" applyBorder="1" applyAlignment="1">
      <alignment horizontal="left" vertical="top" wrapText="1"/>
    </xf>
    <xf numFmtId="0" fontId="24" fillId="0" borderId="32" xfId="0" applyFont="1" applyBorder="1" applyAlignment="1">
      <alignment horizontal="left" vertical="top" wrapText="1"/>
    </xf>
    <xf numFmtId="2" fontId="0" fillId="0" borderId="17" xfId="0" applyNumberFormat="1" applyFont="1" applyBorder="1" applyAlignment="1">
      <alignment horizontal="left" wrapText="1"/>
    </xf>
    <xf numFmtId="2" fontId="0" fillId="0" borderId="35" xfId="0" applyNumberFormat="1" applyFont="1" applyBorder="1" applyAlignment="1">
      <alignment horizontal="left" wrapText="1"/>
    </xf>
    <xf numFmtId="2" fontId="0" fillId="0" borderId="36" xfId="0" applyNumberFormat="1" applyFont="1" applyBorder="1" applyAlignment="1">
      <alignment horizontal="left" wrapText="1"/>
    </xf>
    <xf numFmtId="0" fontId="10" fillId="5" borderId="19" xfId="0" applyFont="1" applyFill="1" applyBorder="1" applyAlignment="1">
      <alignment horizontal="center"/>
    </xf>
    <xf numFmtId="0" fontId="10" fillId="5" borderId="21" xfId="0" applyFont="1" applyFill="1" applyBorder="1" applyAlignment="1">
      <alignment horizontal="center"/>
    </xf>
    <xf numFmtId="0" fontId="10" fillId="5" borderId="28" xfId="0" applyFont="1" applyFill="1" applyBorder="1" applyAlignment="1">
      <alignment horizontal="center"/>
    </xf>
    <xf numFmtId="0" fontId="0" fillId="0" borderId="37" xfId="0" applyFont="1" applyBorder="1" applyAlignment="1">
      <alignment horizontal="left" vertical="top" wrapText="1"/>
    </xf>
    <xf numFmtId="0" fontId="0" fillId="0" borderId="0" xfId="0" applyFont="1" applyFill="1" applyAlignment="1">
      <alignment horizontal="left" vertical="top" wrapText="1"/>
    </xf>
    <xf numFmtId="0" fontId="24" fillId="0" borderId="0" xfId="0" applyFont="1" applyAlignment="1">
      <alignment horizontal="left" vertical="top" wrapText="1"/>
    </xf>
    <xf numFmtId="0" fontId="24" fillId="0" borderId="9"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Alignment="1">
      <alignment horizontal="left"/>
    </xf>
  </cellXfs>
  <cellStyles count="1">
    <cellStyle name="Standaard" xfId="0" builtinId="0"/>
  </cellStyles>
  <dxfs count="18">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auto="1"/>
      </font>
      <fill>
        <patternFill>
          <fgColor indexed="64"/>
          <bgColor theme="6" tint="0.59996337778862885"/>
        </patternFill>
      </fill>
    </dxf>
    <dxf>
      <border>
        <left style="thin">
          <color indexed="64"/>
        </left>
        <right style="thin">
          <color indexed="64"/>
        </right>
        <top style="thin">
          <color indexed="64"/>
        </top>
        <bottom style="thin">
          <color indexed="64"/>
        </bottom>
      </border>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9525</xdr:rowOff>
        </xdr:from>
        <xdr:to>
          <xdr:col>1</xdr:col>
          <xdr:colOff>1724025</xdr:colOff>
          <xdr:row>7</xdr:row>
          <xdr:rowOff>200025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HERBEGIN. Druk op deze knop om alles terug op de startwaarde te zetten.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1933575</xdr:colOff>
          <xdr:row>4</xdr:row>
          <xdr:rowOff>19050</xdr:rowOff>
        </xdr:from>
        <xdr:to>
          <xdr:col>1</xdr:col>
          <xdr:colOff>3933825</xdr:colOff>
          <xdr:row>7</xdr:row>
          <xdr:rowOff>209550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Druk een  voorstel af.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209550</xdr:colOff>
          <xdr:row>1</xdr:row>
          <xdr:rowOff>38100</xdr:rowOff>
        </xdr:from>
        <xdr:to>
          <xdr:col>19</xdr:col>
          <xdr:colOff>152400</xdr:colOff>
          <xdr:row>2</xdr:row>
          <xdr:rowOff>57150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Open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3</xdr:row>
          <xdr:rowOff>0</xdr:rowOff>
        </xdr:from>
        <xdr:to>
          <xdr:col>19</xdr:col>
          <xdr:colOff>171450</xdr:colOff>
          <xdr:row>4</xdr:row>
          <xdr:rowOff>38100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Close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4</xdr:row>
          <xdr:rowOff>180975</xdr:rowOff>
        </xdr:from>
        <xdr:to>
          <xdr:col>19</xdr:col>
          <xdr:colOff>190500</xdr:colOff>
          <xdr:row>6</xdr:row>
          <xdr:rowOff>57150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BAH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7</xdr:row>
          <xdr:rowOff>28575</xdr:rowOff>
        </xdr:from>
        <xdr:to>
          <xdr:col>19</xdr:col>
          <xdr:colOff>19050</xdr:colOff>
          <xdr:row>8</xdr:row>
          <xdr:rowOff>28575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Prt p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8</xdr:row>
          <xdr:rowOff>152400</xdr:rowOff>
        </xdr:from>
        <xdr:to>
          <xdr:col>19</xdr:col>
          <xdr:colOff>19050</xdr:colOff>
          <xdr:row>9</xdr:row>
          <xdr:rowOff>123825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Prt 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228600</xdr:colOff>
          <xdr:row>1</xdr:row>
          <xdr:rowOff>38100</xdr:rowOff>
        </xdr:from>
        <xdr:to>
          <xdr:col>9</xdr:col>
          <xdr:colOff>428625</xdr:colOff>
          <xdr:row>3</xdr:row>
          <xdr:rowOff>38100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Druk dit voorstel af</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Y136"/>
  <sheetViews>
    <sheetView showGridLines="0" showRowColHeaders="0" showZeros="0" tabSelected="1" zoomScaleNormal="100" workbookViewId="0">
      <pane ySplit="10" topLeftCell="A11" activePane="bottomLeft" state="frozen"/>
      <selection activeCell="B13" sqref="B13"/>
      <selection pane="bottomLeft" activeCell="B13" sqref="B13"/>
    </sheetView>
  </sheetViews>
  <sheetFormatPr defaultRowHeight="15" x14ac:dyDescent="0.25"/>
  <cols>
    <col min="1" max="1" width="3" customWidth="1"/>
    <col min="2" max="2" width="97.28515625" customWidth="1"/>
    <col min="3" max="3" width="5.42578125" bestFit="1" customWidth="1"/>
    <col min="4" max="4" width="9.5703125" style="16" customWidth="1"/>
    <col min="5" max="5" width="3.28515625" customWidth="1"/>
    <col min="6" max="6" width="22.5703125" customWidth="1"/>
    <col min="7" max="7" width="8.85546875" customWidth="1"/>
    <col min="8" max="8" width="21.7109375" bestFit="1" customWidth="1"/>
    <col min="9" max="9" width="8.140625" customWidth="1"/>
    <col min="10" max="10" width="23.42578125" bestFit="1" customWidth="1"/>
    <col min="11" max="11" width="13.42578125" customWidth="1"/>
    <col min="12" max="12" width="14.140625" customWidth="1"/>
    <col min="13" max="16" width="18" hidden="1" customWidth="1"/>
    <col min="17" max="19" width="8.5703125" customWidth="1"/>
    <col min="20" max="22" width="18" hidden="1" customWidth="1"/>
    <col min="23" max="23" width="8.7109375" hidden="1" customWidth="1"/>
    <col min="24" max="24" width="8.7109375" customWidth="1"/>
    <col min="25" max="25" width="8.7109375" style="126" customWidth="1"/>
    <col min="26" max="39" width="9.140625" style="15"/>
    <col min="40" max="41" width="9.140625" style="126"/>
    <col min="42" max="51" width="9.140625" style="15"/>
  </cols>
  <sheetData>
    <row r="1" spans="2:27" ht="15.75" x14ac:dyDescent="0.25">
      <c r="B1" s="3" t="s">
        <v>68</v>
      </c>
    </row>
    <row r="2" spans="2:27" ht="8.25" customHeight="1" x14ac:dyDescent="0.25"/>
    <row r="3" spans="2:27" ht="15.75" x14ac:dyDescent="0.25">
      <c r="B3" s="3" t="str">
        <f>"Rekenmodule barbecue. " &amp; matrixen!B1</f>
        <v>Rekenmodule barbecue. Prijzen geldig tot 31/03/2023</v>
      </c>
    </row>
    <row r="4" spans="2:27" ht="5.25" customHeight="1" thickBot="1" x14ac:dyDescent="0.3"/>
    <row r="5" spans="2:27" x14ac:dyDescent="0.25">
      <c r="F5" s="4" t="s">
        <v>69</v>
      </c>
      <c r="G5" s="5"/>
      <c r="H5" s="4" t="s">
        <v>69</v>
      </c>
      <c r="I5" s="5"/>
      <c r="J5" s="4" t="s">
        <v>69</v>
      </c>
    </row>
    <row r="6" spans="2:27" ht="15.75" thickBot="1" x14ac:dyDescent="0.3">
      <c r="D6" s="61" t="str">
        <f ca="1">IF(TODAY()&gt;AA11,"Deze module is niet meer geldig.","")</f>
        <v/>
      </c>
      <c r="F6" s="6" t="s">
        <v>70</v>
      </c>
      <c r="G6" s="5"/>
      <c r="H6" s="6" t="s">
        <v>71</v>
      </c>
      <c r="I6" s="5"/>
      <c r="J6" s="6" t="s">
        <v>72</v>
      </c>
    </row>
    <row r="7" spans="2:27" ht="18.75" customHeight="1" thickBot="1" x14ac:dyDescent="0.4">
      <c r="B7" s="7" t="s">
        <v>73</v>
      </c>
      <c r="C7" s="8"/>
      <c r="D7" s="17">
        <f>SUM(D10:D982)</f>
        <v>40.699999999999996</v>
      </c>
      <c r="E7" s="9"/>
      <c r="F7" s="10" t="s">
        <v>74</v>
      </c>
      <c r="G7" s="11"/>
      <c r="H7" s="12">
        <f>ROUND(D7/3,2)</f>
        <v>13.57</v>
      </c>
      <c r="I7" s="11"/>
      <c r="J7" s="12">
        <f>ROUND(D7/2,2)</f>
        <v>20.350000000000001</v>
      </c>
    </row>
    <row r="8" spans="2:27" ht="18.75" customHeight="1" x14ac:dyDescent="0.25">
      <c r="B8" s="58"/>
      <c r="C8" s="59"/>
      <c r="D8" s="60"/>
      <c r="E8" s="9"/>
      <c r="F8" s="19" t="s">
        <v>123</v>
      </c>
      <c r="G8" s="11"/>
      <c r="H8" s="18"/>
      <c r="I8" s="11"/>
      <c r="J8" s="18"/>
    </row>
    <row r="9" spans="2:27" ht="6.75" customHeight="1" x14ac:dyDescent="0.25"/>
    <row r="10" spans="2:27" ht="21" customHeight="1" x14ac:dyDescent="0.4">
      <c r="B10" s="13" t="s">
        <v>122</v>
      </c>
      <c r="I10" s="27" t="s">
        <v>173</v>
      </c>
      <c r="J10" s="28"/>
      <c r="K10" s="28"/>
    </row>
    <row r="11" spans="2:27" x14ac:dyDescent="0.25">
      <c r="B11" t="s">
        <v>112</v>
      </c>
      <c r="D11" s="16" t="s">
        <v>75</v>
      </c>
      <c r="F11" s="125" t="s">
        <v>76</v>
      </c>
      <c r="G11" s="123" t="s">
        <v>353</v>
      </c>
      <c r="H11" s="124"/>
      <c r="I11" s="59">
        <f>COUNTA(G13:K23)</f>
        <v>0</v>
      </c>
      <c r="J11" s="59" t="s">
        <v>368</v>
      </c>
      <c r="AA11" s="15" t="str">
        <f>matrixen!B1</f>
        <v>Prijzen geldig tot 31/03/2023</v>
      </c>
    </row>
    <row r="12" spans="2:27" ht="8.25" customHeight="1" x14ac:dyDescent="0.25"/>
    <row r="13" spans="2:27" x14ac:dyDescent="0.25">
      <c r="B13" s="63" t="s">
        <v>77</v>
      </c>
      <c r="D13" s="16">
        <f>VLOOKUP(B13,matrixen!B11:I19,8,FALSE)</f>
        <v>0</v>
      </c>
      <c r="F13">
        <f>HLOOKUP($B$13,matrixen!$T$14:$AB$28,2,FALSE)</f>
        <v>0</v>
      </c>
      <c r="G13" s="160"/>
      <c r="H13" s="160"/>
      <c r="I13" s="160"/>
      <c r="J13" s="160"/>
      <c r="K13" s="160"/>
      <c r="AA13" s="15" t="str">
        <f>matrixen!B11</f>
        <v>Maak in dit vak uw keuze voor het aperitief</v>
      </c>
    </row>
    <row r="14" spans="2:27" x14ac:dyDescent="0.25">
      <c r="B14" s="15" t="s">
        <v>77</v>
      </c>
      <c r="F14">
        <f>HLOOKUP($B$13,matrixen!$T$14:$AB$28,3,FALSE)</f>
        <v>0</v>
      </c>
      <c r="G14" s="160"/>
      <c r="H14" s="160"/>
      <c r="I14" s="160"/>
      <c r="J14" s="160"/>
      <c r="K14" s="160"/>
      <c r="AA14" s="15" t="str">
        <f>matrixen!B12</f>
        <v>1 aperitief per persoon</v>
      </c>
    </row>
    <row r="15" spans="2:27" x14ac:dyDescent="0.25">
      <c r="B15" s="22" t="str">
        <f>"U selecteerde tot nu " &amp; COUNTA(G13:K23)&amp; " hapjes."</f>
        <v>U selecteerde tot nu 0 hapjes.</v>
      </c>
      <c r="D15" s="16">
        <f>IF(IF(B13=matrixen!N14,('selecteer hier uw barbecue'!I11-4)*matrixen!I47,I11*matrixen!I47)&lt;0,0,IF(B13=matrixen!N14,('selecteer hier uw barbecue'!I11-4)*matrixen!I47,I11*matrixen!I47))</f>
        <v>0</v>
      </c>
      <c r="F15">
        <f>HLOOKUP($B$13,matrixen!$T$14:$AB$28,4,FALSE)</f>
        <v>0</v>
      </c>
      <c r="G15" s="160"/>
      <c r="H15" s="160"/>
      <c r="I15" s="160"/>
      <c r="J15" s="160"/>
      <c r="K15" s="160"/>
      <c r="AA15" s="15" t="str">
        <f>matrixen!B13</f>
        <v>2 aperitieven per persoon</v>
      </c>
    </row>
    <row r="16" spans="2:27" x14ac:dyDescent="0.25">
      <c r="B16" s="22" t="str">
        <f>IF(B13=matrixen!N14,"U koos receptie E en daar zijn 4 hapjes inbegrepen. Selecteer er dus zeker 4!","")</f>
        <v/>
      </c>
      <c r="F16">
        <f>HLOOKUP($B$13,matrixen!$T$14:$AB$28,5,FALSE)</f>
        <v>0</v>
      </c>
      <c r="G16" s="160"/>
      <c r="H16" s="160"/>
      <c r="I16" s="160"/>
      <c r="J16" s="160"/>
      <c r="K16" s="160"/>
      <c r="AA16" s="15" t="str">
        <f>matrixen!B14</f>
        <v>Receptie E</v>
      </c>
    </row>
    <row r="17" spans="2:27" x14ac:dyDescent="0.25">
      <c r="F17">
        <f>HLOOKUP($B$13,matrixen!$T$14:$AB$28,6,FALSE)</f>
        <v>0</v>
      </c>
      <c r="G17" s="160"/>
      <c r="H17" s="160"/>
      <c r="I17" s="160"/>
      <c r="J17" s="160"/>
      <c r="K17" s="160"/>
      <c r="AA17" s="15" t="str">
        <f>matrixen!B15</f>
        <v>Receptie A</v>
      </c>
    </row>
    <row r="18" spans="2:27" x14ac:dyDescent="0.25">
      <c r="F18">
        <f>HLOOKUP($B$13,matrixen!$T$14:$AB$28,7,FALSE)</f>
        <v>0</v>
      </c>
      <c r="G18" s="160"/>
      <c r="H18" s="160"/>
      <c r="I18" s="160"/>
      <c r="J18" s="160"/>
      <c r="K18" s="160"/>
      <c r="AA18" s="15">
        <f>matrixen!B16</f>
        <v>0</v>
      </c>
    </row>
    <row r="19" spans="2:27" x14ac:dyDescent="0.25">
      <c r="B19" t="s">
        <v>233</v>
      </c>
      <c r="F19">
        <f>HLOOKUP($B$13,matrixen!$T$14:$AB$28,8,FALSE)</f>
        <v>0</v>
      </c>
      <c r="G19" s="160"/>
      <c r="H19" s="160"/>
      <c r="I19" s="160"/>
      <c r="J19" s="160"/>
      <c r="K19" s="160"/>
      <c r="AA19" s="15">
        <f>matrixen!B17</f>
        <v>0</v>
      </c>
    </row>
    <row r="20" spans="2:27" x14ac:dyDescent="0.25">
      <c r="B20" s="57" t="s">
        <v>234</v>
      </c>
      <c r="F20">
        <f>HLOOKUP($B$13,matrixen!$T$14:$AB$28,9,FALSE)</f>
        <v>0</v>
      </c>
      <c r="G20" s="160"/>
      <c r="H20" s="160"/>
      <c r="I20" s="160"/>
      <c r="J20" s="160"/>
      <c r="K20" s="160"/>
      <c r="AA20" s="15">
        <f>matrixen!B18</f>
        <v>0</v>
      </c>
    </row>
    <row r="21" spans="2:27" x14ac:dyDescent="0.25">
      <c r="B21" s="15" t="s">
        <v>234</v>
      </c>
      <c r="F21">
        <f>HLOOKUP($B$13,matrixen!$T$14:$AB$28,10,FALSE)</f>
        <v>0</v>
      </c>
      <c r="G21" s="160"/>
      <c r="H21" s="160"/>
      <c r="I21" s="160"/>
      <c r="J21" s="160"/>
      <c r="K21" s="160"/>
      <c r="AA21" s="15">
        <f>matrixen!B19</f>
        <v>0</v>
      </c>
    </row>
    <row r="22" spans="2:27" x14ac:dyDescent="0.25">
      <c r="B22" s="15" t="s">
        <v>399</v>
      </c>
      <c r="F22">
        <f>HLOOKUP($B$13,matrixen!$T$14:$AB$28,11,FALSE)</f>
        <v>0</v>
      </c>
      <c r="G22" s="160"/>
      <c r="H22" s="160"/>
      <c r="I22" s="160"/>
      <c r="J22" s="160"/>
      <c r="K22" s="160"/>
    </row>
    <row r="23" spans="2:27" x14ac:dyDescent="0.25">
      <c r="B23" s="15" t="s">
        <v>235</v>
      </c>
      <c r="F23">
        <f>HLOOKUP($B$13,matrixen!$T$14:$AB$28,12,FALSE)</f>
        <v>0</v>
      </c>
      <c r="G23" s="160"/>
      <c r="H23" s="160"/>
      <c r="I23" s="160"/>
      <c r="J23" s="160"/>
      <c r="K23" s="160"/>
      <c r="AA23" s="15" t="str">
        <f>matrixen!B23</f>
        <v>Schuimwijn van het huis (reeds inbegrepen)</v>
      </c>
    </row>
    <row r="24" spans="2:27" x14ac:dyDescent="0.25">
      <c r="B24" s="54" t="s">
        <v>209</v>
      </c>
      <c r="F24">
        <f>HLOOKUP($B$13,matrixen!$T$14:$AB$28,13,FALSE)</f>
        <v>0</v>
      </c>
      <c r="G24" s="122" t="str">
        <f>IF(F20="tapenades", matrixen!AM28,"")</f>
        <v/>
      </c>
      <c r="H24" s="122"/>
      <c r="I24" s="122"/>
      <c r="J24" s="122"/>
      <c r="K24" s="122"/>
      <c r="AA24" s="15" t="str">
        <f>matrixen!B24</f>
        <v>Cava</v>
      </c>
    </row>
    <row r="25" spans="2:27" x14ac:dyDescent="0.25">
      <c r="B25" s="55" t="s">
        <v>210</v>
      </c>
      <c r="F25">
        <f>HLOOKUP($B$13,matrixen!$T$14:$AB$28,14,FALSE)</f>
        <v>0</v>
      </c>
      <c r="AA25" s="15" t="str">
        <f>matrixen!B25</f>
        <v>Champagne</v>
      </c>
    </row>
    <row r="26" spans="2:27" x14ac:dyDescent="0.25">
      <c r="F26">
        <f>HLOOKUP($B$13,matrixen!$T$14:$AB$28,15,FALSE)</f>
        <v>0</v>
      </c>
      <c r="AA26" s="15">
        <f>matrixen!B26</f>
        <v>0</v>
      </c>
    </row>
    <row r="27" spans="2:27" ht="5.25" customHeight="1" x14ac:dyDescent="0.25"/>
    <row r="28" spans="2:27" ht="15.75" x14ac:dyDescent="0.25">
      <c r="B28" s="3" t="s">
        <v>139</v>
      </c>
      <c r="Z28" s="25"/>
      <c r="AA28" s="25"/>
    </row>
    <row r="29" spans="2:27" x14ac:dyDescent="0.25">
      <c r="B29" t="s">
        <v>145</v>
      </c>
      <c r="Z29" s="25"/>
      <c r="AA29" s="25" t="str">
        <f>matrixen!B44</f>
        <v>Maak hier uw keuze voor extra hapjes bij het aperitief</v>
      </c>
    </row>
    <row r="30" spans="2:27" ht="18.75" x14ac:dyDescent="0.3">
      <c r="B30" t="s">
        <v>142</v>
      </c>
      <c r="Q30" s="15"/>
      <c r="R30" s="15"/>
      <c r="S30" s="15"/>
      <c r="Z30" s="25"/>
      <c r="AA30" s="25" t="str">
        <f>matrixen!B45</f>
        <v>Nootjes, chips en zoutkoekjes zoveel u wenst,  per pers.</v>
      </c>
    </row>
    <row r="31" spans="2:27" x14ac:dyDescent="0.25">
      <c r="Q31" s="15"/>
      <c r="R31" s="15"/>
      <c r="S31" s="15"/>
      <c r="Z31" s="25"/>
      <c r="AA31" s="25" t="str">
        <f>matrixen!B46</f>
        <v>Rauwe groenten (wortel, bloemkool, cocktailsaus) prijs per persoon:</v>
      </c>
    </row>
    <row r="32" spans="2:27" x14ac:dyDescent="0.25">
      <c r="B32" s="2" t="s">
        <v>113</v>
      </c>
      <c r="F32" s="2" t="str">
        <f>"Als voorgerecht kunt u een halve kreeft kiezen. Dit telt als 2 soorten vis en er is een extra suppl. Van € "&amp;matrixen!H133&amp;",00"</f>
        <v>Als voorgerecht kunt u een halve kreeft kiezen. Dit telt als 2 soorten vis en er is een extra suppl. Van € 5,00</v>
      </c>
      <c r="Q32" s="15"/>
      <c r="R32" s="15"/>
      <c r="S32" s="15"/>
      <c r="Z32" s="25"/>
      <c r="AA32" s="25" t="str">
        <f>matrixen!B47</f>
        <v>aperitiefglaasjes per stuk</v>
      </c>
    </row>
    <row r="33" spans="1:32" x14ac:dyDescent="0.25">
      <c r="B33" s="21" t="s">
        <v>115</v>
      </c>
      <c r="D33" s="16" t="str">
        <f>VLOOKUP(B33,matrixen!B100:G103,6,FALSE)</f>
        <v>inbegrepen</v>
      </c>
      <c r="F33" s="160" t="s">
        <v>373</v>
      </c>
      <c r="G33" s="160"/>
      <c r="H33" s="160"/>
      <c r="I33" s="15">
        <f>IF(F33=AA40,2,0)</f>
        <v>0</v>
      </c>
      <c r="Q33" s="15"/>
      <c r="R33" s="15">
        <f>IF(F33=matrixen!H132,matrixen!H133,0)</f>
        <v>0</v>
      </c>
      <c r="S33" s="25"/>
      <c r="T33" s="1"/>
      <c r="U33" s="1"/>
      <c r="V33" s="1"/>
      <c r="W33" s="1"/>
      <c r="X33" s="1"/>
      <c r="Y33" s="127"/>
      <c r="Z33" s="25"/>
      <c r="AA33" s="25" t="str">
        <f>matrixen!B48</f>
        <v>aperitiefglaasjes per stuk</v>
      </c>
    </row>
    <row r="34" spans="1:32" x14ac:dyDescent="0.25">
      <c r="B34" s="15" t="s">
        <v>115</v>
      </c>
      <c r="Q34" s="15"/>
      <c r="R34" s="15"/>
      <c r="S34" s="15"/>
      <c r="AA34" s="25" t="str">
        <f>matrixen!B49</f>
        <v>aperitiefglaasjes per stuk</v>
      </c>
    </row>
    <row r="35" spans="1:32" x14ac:dyDescent="0.25">
      <c r="B35" s="2" t="s">
        <v>140</v>
      </c>
      <c r="D35" s="16">
        <f>matrixen!B133</f>
        <v>36.9</v>
      </c>
      <c r="F35" s="2" t="str">
        <f>"Selecteert u één of meer van onderstaande specialiteiten, is er een supplement van "&amp;matrixen!E133&amp;" euro pp t.o.v. de basisprijs"</f>
        <v>Selecteert u één of meer van onderstaande specialiteiten, is er een supplement van 6 euro pp t.o.v. de basisprijs</v>
      </c>
      <c r="Q35" s="15">
        <f>IF(AND(F36&lt;&gt;"",F36&lt;&gt; matrixen!E$112),1,0)</f>
        <v>0</v>
      </c>
      <c r="R35" s="15">
        <f>IF(Q35+Q36+Q37+Q38+Q39&gt;0,matrixen!E133,0)</f>
        <v>0</v>
      </c>
      <c r="S35" s="15"/>
      <c r="AA35" s="25">
        <f>matrixen!B50</f>
        <v>0</v>
      </c>
    </row>
    <row r="36" spans="1:32" x14ac:dyDescent="0.25">
      <c r="A36">
        <v>1</v>
      </c>
      <c r="B36" s="57" t="s">
        <v>141</v>
      </c>
      <c r="C36" s="15">
        <f>IF(AND(B36 &lt;&gt;"",B36&lt;&gt; matrixen!B$112),1,0)</f>
        <v>0</v>
      </c>
      <c r="E36">
        <v>1</v>
      </c>
      <c r="F36" s="160" t="s">
        <v>305</v>
      </c>
      <c r="G36" s="160"/>
      <c r="H36" s="160"/>
      <c r="J36" s="2" t="s">
        <v>125</v>
      </c>
      <c r="Q36" s="15">
        <f>IF(AND(F37&lt;&gt;"",F37&lt;&gt; matrixen!E$112),1,0)</f>
        <v>0</v>
      </c>
      <c r="R36" s="15"/>
      <c r="S36" s="15"/>
      <c r="AA36" s="25" t="str">
        <f>matrixen!B51</f>
        <v>wachtbordje met vispasteitje</v>
      </c>
    </row>
    <row r="37" spans="1:32" x14ac:dyDescent="0.25">
      <c r="A37">
        <v>2</v>
      </c>
      <c r="B37" s="57" t="s">
        <v>141</v>
      </c>
      <c r="C37" s="15">
        <f>IF(AND(B37 &lt;&gt;"",B37&lt;&gt; matrixen!B$112),1,0)</f>
        <v>0</v>
      </c>
      <c r="E37">
        <v>2</v>
      </c>
      <c r="F37" s="160" t="s">
        <v>305</v>
      </c>
      <c r="G37" s="160"/>
      <c r="H37" s="160"/>
      <c r="J37" s="2" t="s">
        <v>126</v>
      </c>
      <c r="Q37" s="15">
        <f>IF(AND(F38&lt;&gt;"",F38&lt;&gt; matrixen!E$112),1,0)</f>
        <v>0</v>
      </c>
      <c r="R37" s="15"/>
      <c r="S37" s="15"/>
      <c r="AA37" s="25" t="str">
        <f>matrixen!B52</f>
        <v>wachtbordje van reuzentoost met gerookte zalm</v>
      </c>
    </row>
    <row r="38" spans="1:32" x14ac:dyDescent="0.25">
      <c r="A38">
        <v>3</v>
      </c>
      <c r="B38" s="57" t="s">
        <v>141</v>
      </c>
      <c r="C38" s="15">
        <f>IF(AND(B38 &lt;&gt;"",B38&lt;&gt; matrixen!B$112),1,0)</f>
        <v>0</v>
      </c>
      <c r="E38">
        <v>3</v>
      </c>
      <c r="F38" s="160" t="s">
        <v>305</v>
      </c>
      <c r="G38" s="160"/>
      <c r="H38" s="160"/>
      <c r="J38" s="2"/>
      <c r="Q38" s="15">
        <f>IF(AND(F39&lt;&gt;"",F39&lt;&gt; matrixen!E$112),1,0)</f>
        <v>0</v>
      </c>
      <c r="R38" s="15"/>
      <c r="S38" s="15"/>
      <c r="AA38" s="25" t="str">
        <f>matrixen!B53</f>
        <v>wachtbordje van lauw slaatje met gerookte zalm en scampi's</v>
      </c>
    </row>
    <row r="39" spans="1:32" x14ac:dyDescent="0.25">
      <c r="A39">
        <v>4</v>
      </c>
      <c r="B39" s="57" t="s">
        <v>141</v>
      </c>
      <c r="C39" s="15">
        <f>IF(AND(B39 &lt;&gt;"",B39&lt;&gt; matrixen!B$112),1,0)</f>
        <v>0</v>
      </c>
      <c r="D39" s="16">
        <f>IF(R33&gt;0,R33+matrixen!E133,R35)</f>
        <v>0</v>
      </c>
      <c r="E39">
        <v>4</v>
      </c>
      <c r="F39" s="160" t="s">
        <v>305</v>
      </c>
      <c r="G39" s="160"/>
      <c r="H39" s="160"/>
      <c r="Q39" s="15">
        <f>IF(AND(F40&lt;&gt;"",F40&lt;&gt; matrixen!E$112),1,0)</f>
        <v>0</v>
      </c>
      <c r="R39" s="15"/>
      <c r="S39" s="15"/>
      <c r="AA39" s="25" t="s">
        <v>373</v>
      </c>
    </row>
    <row r="40" spans="1:32" x14ac:dyDescent="0.25">
      <c r="A40">
        <v>5</v>
      </c>
      <c r="B40" s="57" t="s">
        <v>141</v>
      </c>
      <c r="C40" s="15">
        <f>IF(AND(B40 &lt;&gt;"",B40&lt;&gt; matrixen!B$112),1,0)</f>
        <v>0</v>
      </c>
      <c r="E40">
        <v>5</v>
      </c>
      <c r="F40" s="160" t="s">
        <v>305</v>
      </c>
      <c r="G40" s="160"/>
      <c r="H40" s="160"/>
      <c r="Q40" s="62"/>
      <c r="R40" s="62"/>
      <c r="S40" s="62"/>
      <c r="AA40" s="25" t="str">
        <f>matrixen!H132</f>
        <v>1/2 warme kreeft i.p.v. 2 andere soorten</v>
      </c>
      <c r="AE40" s="15" t="str">
        <f t="shared" ref="AE40:AE49" si="0">IF($D$39&gt;0,AF40,"")</f>
        <v/>
      </c>
      <c r="AF40" s="15" t="str">
        <f>matrixen!E121</f>
        <v>U mag 2 warme sausen kiezen als u ook vis of rund kiest!</v>
      </c>
    </row>
    <row r="41" spans="1:32" x14ac:dyDescent="0.25">
      <c r="B41" t="s">
        <v>141</v>
      </c>
      <c r="C41" s="15"/>
      <c r="F41" s="15" t="s">
        <v>305</v>
      </c>
      <c r="G41" s="15"/>
      <c r="H41" s="15"/>
      <c r="Q41" s="62"/>
      <c r="R41" s="62"/>
      <c r="S41" s="62"/>
      <c r="AA41" s="25"/>
      <c r="AE41" s="15" t="str">
        <f t="shared" si="0"/>
        <v/>
      </c>
      <c r="AF41" s="15" t="str">
        <f>matrixen!E122</f>
        <v>bearnaise</v>
      </c>
    </row>
    <row r="42" spans="1:32" ht="18.75" x14ac:dyDescent="0.3">
      <c r="B42" s="26" t="str">
        <f>IF(C36+C37+C38+C39+C40+Q35+Q36+Q37+Q38+Q39+G4+I33&gt;5,"U koos meer dan 5 soorten, er wordt een meerpijs gerekend.",IF(C36+C37+C38+C39+C40+Q35+Q36+Q37+Q38+Q39+G4+I33=5,"U koos nu 5 gerechten. Indien gewenst kunt u nog steeds wijzigen","Gelieve 5 soorten te selecteren"))</f>
        <v>Gelieve 5 soorten te selecteren</v>
      </c>
      <c r="C42" s="15"/>
      <c r="D42" s="16">
        <f>IF(C36+C37+C38+C39+C40+Q35+Q36+Q37+Q38+Q39+G4+I33&gt;5,(C36+C37+C38+C39+C40+Q35+Q36+Q37+Q38+Q39+G4+I33-5)*matrixen!G105,0)</f>
        <v>0</v>
      </c>
      <c r="E42" s="15"/>
      <c r="F42" s="162" t="str">
        <f>"Er zijn 2 warme sausen inbegrepen als u ook vis of rund kiest! Anders is er een supplement van € " &amp; matrixen!G106</f>
        <v>Er zijn 2 warme sausen inbegrepen als u ook vis of rund kiest! Anders is er een supplement van € 2,5</v>
      </c>
      <c r="G42" s="162"/>
      <c r="H42" s="162"/>
      <c r="I42" s="162"/>
      <c r="J42" s="162"/>
      <c r="K42" s="162"/>
      <c r="Q42" s="62"/>
      <c r="R42" s="62"/>
      <c r="S42" s="62"/>
      <c r="AA42" s="25" t="str">
        <f>matrixen!B100</f>
        <v>Koude aardappelen</v>
      </c>
      <c r="AE42" s="15" t="str">
        <f t="shared" si="0"/>
        <v/>
      </c>
      <c r="AF42" s="15" t="str">
        <f>matrixen!E123</f>
        <v>romige portosaus</v>
      </c>
    </row>
    <row r="43" spans="1:32" x14ac:dyDescent="0.25">
      <c r="B43" s="15"/>
      <c r="C43" s="15"/>
      <c r="D43" s="16">
        <f>IF(AND(OR(F43&lt;&gt;0,F44&lt;&gt;0),D39=0),matrixen!G106,0)</f>
        <v>0</v>
      </c>
      <c r="E43" s="15"/>
      <c r="F43" s="160"/>
      <c r="G43" s="160"/>
      <c r="H43" s="160"/>
      <c r="AA43" s="25" t="str">
        <f>matrixen!B101</f>
        <v>Aardappel in de pel</v>
      </c>
      <c r="AE43" s="15" t="str">
        <f t="shared" si="0"/>
        <v/>
      </c>
      <c r="AF43" s="15" t="str">
        <f>matrixen!E124</f>
        <v>pepersaus</v>
      </c>
    </row>
    <row r="44" spans="1:32" x14ac:dyDescent="0.25">
      <c r="B44" s="2" t="s">
        <v>146</v>
      </c>
      <c r="F44" s="160"/>
      <c r="G44" s="160"/>
      <c r="H44" s="160"/>
      <c r="AA44" s="25" t="str">
        <f>matrixen!B102</f>
        <v>1/2 koude aardappelen en 1/2 aardappel in de pel</v>
      </c>
      <c r="AE44" s="15" t="str">
        <f t="shared" si="0"/>
        <v/>
      </c>
      <c r="AF44" s="15" t="str">
        <f>matrixen!E125</f>
        <v>mosterd en look,</v>
      </c>
    </row>
    <row r="45" spans="1:32" x14ac:dyDescent="0.25">
      <c r="B45" s="21" t="s">
        <v>236</v>
      </c>
      <c r="D45" s="16">
        <f>VLOOKUP(B45,matrixen!B139:M141,12,FALSE)</f>
        <v>3.8</v>
      </c>
      <c r="AA45" s="25" t="str">
        <f>matrixen!B103</f>
        <v>frietjes (supplement)</v>
      </c>
      <c r="AE45" s="15" t="str">
        <f t="shared" si="0"/>
        <v/>
      </c>
      <c r="AF45" s="15" t="str">
        <f>matrixen!E126</f>
        <v>champignonroomsaus</v>
      </c>
    </row>
    <row r="46" spans="1:32" x14ac:dyDescent="0.25">
      <c r="B46" s="15" t="s">
        <v>236</v>
      </c>
      <c r="AE46" s="15" t="str">
        <f t="shared" si="0"/>
        <v/>
      </c>
      <c r="AF46" s="15" t="str">
        <f>matrixen!E127</f>
        <v>kreeftsaus met groentebrunoise</v>
      </c>
    </row>
    <row r="47" spans="1:32" x14ac:dyDescent="0.25">
      <c r="F47" s="20" t="s">
        <v>127</v>
      </c>
      <c r="AA47" s="15" t="str">
        <f>matrixen!B112</f>
        <v>Kies uit deze vleesspecialiteiten</v>
      </c>
      <c r="AE47" s="15" t="str">
        <f t="shared" si="0"/>
        <v/>
      </c>
      <c r="AF47" s="15" t="str">
        <f>matrixen!E128</f>
        <v>kreeftsaus zonder groenten</v>
      </c>
    </row>
    <row r="48" spans="1:32" x14ac:dyDescent="0.25">
      <c r="B48" s="2" t="s">
        <v>124</v>
      </c>
      <c r="AA48" s="15" t="str">
        <f>matrixen!B113</f>
        <v>- Worst</v>
      </c>
      <c r="AE48" s="15" t="str">
        <f t="shared" si="0"/>
        <v/>
      </c>
      <c r="AF48" s="15" t="str">
        <f>matrixen!E129</f>
        <v>saffraansaus</v>
      </c>
    </row>
    <row r="49" spans="2:32" x14ac:dyDescent="0.25">
      <c r="B49" s="21" t="s">
        <v>134</v>
      </c>
      <c r="D49" s="16">
        <f>VLOOKUP(B49,dessert,8,FALSE)</f>
        <v>0</v>
      </c>
      <c r="F49" s="1">
        <f>VLOOKUP($B$49,dessert,10,FALSE)</f>
        <v>0</v>
      </c>
      <c r="AA49" s="15" t="str">
        <f>matrixen!B114</f>
        <v>- Kippenboutjes</v>
      </c>
      <c r="AE49" s="15" t="str">
        <f t="shared" si="0"/>
        <v/>
      </c>
      <c r="AF49" s="15" t="str">
        <f>matrixen!E130</f>
        <v>bieslooksaus</v>
      </c>
    </row>
    <row r="50" spans="2:32" x14ac:dyDescent="0.25">
      <c r="B50" s="15" t="s">
        <v>134</v>
      </c>
      <c r="F50" s="1">
        <f>VLOOKUP($B$49,dessert,11,FALSE)</f>
        <v>0</v>
      </c>
      <c r="AA50" s="15" t="str">
        <f>matrixen!B115</f>
        <v xml:space="preserve">- Gemarineerde kotelet  </v>
      </c>
    </row>
    <row r="51" spans="2:32" x14ac:dyDescent="0.25">
      <c r="B51" t="str">
        <f>IF(B49=matrixen!B147,"Kies hier nu een aantal dessertjes. 4 zijn reeds inbegrepen. Extra aan € " &amp; matrixen!I143&amp;",00/stuk. U selecteerde er tot nu: "&amp;COUNTA(B52:B58),"")</f>
        <v/>
      </c>
      <c r="F51" s="1">
        <f>VLOOKUP($B$49,dessert,12,FALSE)</f>
        <v>0</v>
      </c>
      <c r="AA51" s="15" t="str">
        <f>matrixen!B116</f>
        <v xml:space="preserve">- Lamskoteletjes </v>
      </c>
    </row>
    <row r="52" spans="2:32" x14ac:dyDescent="0.25">
      <c r="B52" s="57"/>
      <c r="F52" s="1">
        <f>VLOOKUP($B$49,dessert,13,FALSE)</f>
        <v>0</v>
      </c>
      <c r="AA52" s="15" t="str">
        <f>matrixen!B117</f>
        <v>- Varkensbrochet</v>
      </c>
    </row>
    <row r="53" spans="2:32" x14ac:dyDescent="0.25">
      <c r="B53" s="57"/>
      <c r="F53" s="1">
        <f>VLOOKUP($B$49,dessert,14,FALSE)</f>
        <v>0</v>
      </c>
      <c r="AA53" s="15" t="str">
        <f>matrixen!B118</f>
        <v xml:space="preserve">-  Kasselrib    </v>
      </c>
    </row>
    <row r="54" spans="2:32" x14ac:dyDescent="0.25">
      <c r="B54" s="57"/>
      <c r="F54" s="1">
        <f>VLOOKUP($B$49,dessert,15,FALSE)</f>
        <v>0</v>
      </c>
      <c r="AA54" s="15" t="str">
        <f>matrixen!B119</f>
        <v>- Ribbetjes</v>
      </c>
    </row>
    <row r="55" spans="2:32" x14ac:dyDescent="0.25">
      <c r="B55" s="57"/>
      <c r="D55" s="16">
        <f>IF(COUNTA(B52:B58)*matrixen!I143 - IF(B49=matrixen!B147,matrixen!I143*4,0)&lt;0,0,COUNTA(B52:B58)*matrixen!I143 - IF(B49=matrixen!B147,matrixen!I143*4,0))</f>
        <v>0</v>
      </c>
      <c r="F55" t="str">
        <f>IF(D55&gt;0,"U selecteerde meer dan 4 stuks dessert. Vandaar het supplement.","")</f>
        <v/>
      </c>
      <c r="AA55" s="15" t="str">
        <f>matrixen!B120</f>
        <v>- Worst</v>
      </c>
    </row>
    <row r="56" spans="2:32" x14ac:dyDescent="0.25">
      <c r="B56" s="57"/>
      <c r="F56" t="str">
        <f>IF(AND(D55&gt;0,B49&lt;&gt;matrixen!B147),"U moet de selectie links wissen. U koos geen dessertbord.","")</f>
        <v/>
      </c>
      <c r="AA56" s="15" t="str">
        <f>matrixen!B121</f>
        <v>- Kippenboutjes</v>
      </c>
    </row>
    <row r="57" spans="2:32" x14ac:dyDescent="0.25">
      <c r="B57" s="57"/>
    </row>
    <row r="58" spans="2:32" x14ac:dyDescent="0.25">
      <c r="B58" s="57"/>
      <c r="D58" s="16">
        <f>VLOOKUP($B$62,matrixen!$A$176:$P$178,15,FALSE)</f>
        <v>0</v>
      </c>
      <c r="E58" s="48" t="str">
        <f>VLOOKUP($B$62,matrixen!$A$176:$P$178,16,FALSE)</f>
        <v>direct afrekenen</v>
      </c>
      <c r="F58" s="22" t="s">
        <v>153</v>
      </c>
      <c r="G58" s="57" t="s">
        <v>154</v>
      </c>
      <c r="H58" s="22" t="s">
        <v>155</v>
      </c>
      <c r="I58" s="57" t="s">
        <v>154</v>
      </c>
      <c r="J58" s="22" t="s">
        <v>156</v>
      </c>
      <c r="K58" s="57" t="s">
        <v>154</v>
      </c>
      <c r="AB58" s="15" t="str">
        <f>matrixen!E112</f>
        <v>supp.  visgerechten / rund</v>
      </c>
    </row>
    <row r="59" spans="2:32" x14ac:dyDescent="0.25">
      <c r="B59" s="2" t="s">
        <v>138</v>
      </c>
      <c r="H59" s="22"/>
      <c r="K59" s="22"/>
      <c r="AB59" s="15" t="str">
        <f>matrixen!E113</f>
        <v>- Brochette met gepelde scampi's</v>
      </c>
    </row>
    <row r="60" spans="2:32" x14ac:dyDescent="0.25">
      <c r="B60" s="21" t="s">
        <v>137</v>
      </c>
      <c r="D60" s="16">
        <f>VLOOKUP(B60,matrixen!B169:I172,8,FALSE)</f>
        <v>0</v>
      </c>
      <c r="F60" s="22" t="s">
        <v>152</v>
      </c>
      <c r="G60" s="57" t="s">
        <v>154</v>
      </c>
      <c r="H60" s="22" t="s">
        <v>303</v>
      </c>
      <c r="I60" s="57" t="s">
        <v>154</v>
      </c>
      <c r="J60" t="str">
        <f>IF($I$60="ja",matrixen!A182,"")</f>
        <v/>
      </c>
      <c r="AB60" s="15" t="str">
        <f>matrixen!E114</f>
        <v>- Stukje zalm en papillotte</v>
      </c>
    </row>
    <row r="61" spans="2:32" x14ac:dyDescent="0.25">
      <c r="B61" s="15" t="s">
        <v>137</v>
      </c>
      <c r="D61">
        <f>SUM(C72:C75)</f>
        <v>0</v>
      </c>
      <c r="G61" s="22" t="str">
        <f>IF(G60="ja",matrixen!A186,"")</f>
        <v/>
      </c>
      <c r="J61" t="str">
        <f>IF($I$60="ja",matrixen!A183,"")</f>
        <v/>
      </c>
      <c r="AB61" s="15" t="str">
        <f>matrixen!E115</f>
        <v>- Stukje victoriabaarsfilet met fijne kruiden en papillotte</v>
      </c>
    </row>
    <row r="62" spans="2:32" x14ac:dyDescent="0.25">
      <c r="B62" s="21" t="s">
        <v>158</v>
      </c>
      <c r="D62"/>
      <c r="G62" s="22" t="s">
        <v>471</v>
      </c>
      <c r="H62" s="131" t="s">
        <v>470</v>
      </c>
      <c r="AB62" s="15" t="str">
        <f>matrixen!E116</f>
        <v>- Forel met fijne groenten en papillotte</v>
      </c>
    </row>
    <row r="63" spans="2:32" ht="15.75" thickBot="1" x14ac:dyDescent="0.3">
      <c r="B63" s="15" t="s">
        <v>158</v>
      </c>
      <c r="D63"/>
      <c r="AB63" s="15" t="str">
        <f>matrixen!E117</f>
        <v>- Witte zalm in een jasje van ham</v>
      </c>
    </row>
    <row r="64" spans="2:32" ht="26.25" x14ac:dyDescent="0.4">
      <c r="D64" s="22"/>
      <c r="E64" s="22" t="s">
        <v>147</v>
      </c>
      <c r="F64" s="23"/>
      <c r="H64" s="29" t="s">
        <v>174</v>
      </c>
      <c r="I64" s="30"/>
      <c r="J64" s="30"/>
      <c r="K64" s="30"/>
      <c r="L64" s="31"/>
      <c r="M64" s="46"/>
      <c r="N64" s="46"/>
      <c r="O64" s="46"/>
      <c r="P64" s="46"/>
      <c r="AB64" s="15" t="str">
        <f>matrixen!E118</f>
        <v>- Côte à l’os</v>
      </c>
    </row>
    <row r="65" spans="2:35" x14ac:dyDescent="0.25">
      <c r="D65" s="22"/>
      <c r="E65" s="22"/>
      <c r="F65" s="22" t="s">
        <v>172</v>
      </c>
      <c r="H65" s="32" t="str">
        <f>IF(B13=matrixen!B11,"",B13)</f>
        <v/>
      </c>
      <c r="I65" s="33"/>
      <c r="J65" s="33"/>
      <c r="K65" s="33"/>
      <c r="L65" s="34">
        <f>D13</f>
        <v>0</v>
      </c>
      <c r="M65" s="46"/>
      <c r="N65" s="46"/>
      <c r="O65" s="46"/>
      <c r="P65" s="46"/>
      <c r="AA65" s="15" t="str">
        <f>matrixen!B139</f>
        <v>Huiswijn, bieren en frisdranken als forfait</v>
      </c>
      <c r="AB65" s="15" t="str">
        <f>matrixen!E119</f>
        <v>- Steak</v>
      </c>
    </row>
    <row r="66" spans="2:35" x14ac:dyDescent="0.25">
      <c r="D66" s="22"/>
      <c r="E66" s="22" t="s">
        <v>148</v>
      </c>
      <c r="F66" s="21">
        <v>10</v>
      </c>
      <c r="H66" s="32" t="str">
        <f>IF(L66&gt;0,B88,"")</f>
        <v/>
      </c>
      <c r="I66" s="33"/>
      <c r="J66" s="33" t="str">
        <f>IF(L66&gt;0,"geldt alleen bij recepties!!!","")</f>
        <v/>
      </c>
      <c r="K66" s="33"/>
      <c r="L66" s="34">
        <f>D88</f>
        <v>0</v>
      </c>
      <c r="M66" s="46"/>
      <c r="N66" s="46"/>
      <c r="O66" s="46"/>
      <c r="P66" s="46"/>
      <c r="AA66" s="15" t="str">
        <f>matrixen!B140</f>
        <v>Domaine Joel Delauny Touraine  en/of Château Reynier, Bordeaux superieur,  bieren en frisdranken</v>
      </c>
    </row>
    <row r="67" spans="2:35" x14ac:dyDescent="0.25">
      <c r="D67" s="22"/>
      <c r="E67" s="24" t="s">
        <v>250</v>
      </c>
      <c r="F67" s="21"/>
      <c r="H67" s="32"/>
      <c r="I67" s="33"/>
      <c r="J67" s="33"/>
      <c r="K67" s="33"/>
      <c r="L67" s="35"/>
      <c r="M67" s="50"/>
      <c r="N67" s="50"/>
      <c r="O67" s="50"/>
      <c r="P67" s="50"/>
      <c r="AA67" s="15">
        <f>matrixen!B141</f>
        <v>0</v>
      </c>
    </row>
    <row r="68" spans="2:35" x14ac:dyDescent="0.25">
      <c r="D68" s="22"/>
      <c r="E68" s="24" t="s">
        <v>150</v>
      </c>
      <c r="F68" s="21"/>
      <c r="H68" s="32"/>
      <c r="I68" s="33"/>
      <c r="J68" s="33"/>
      <c r="K68" s="33"/>
      <c r="L68" s="35"/>
      <c r="M68" s="50"/>
      <c r="N68" s="50"/>
      <c r="O68" s="50"/>
      <c r="P68" s="50"/>
    </row>
    <row r="69" spans="2:35" x14ac:dyDescent="0.25">
      <c r="D69" s="22"/>
      <c r="E69" s="24" t="s">
        <v>149</v>
      </c>
      <c r="F69" s="21"/>
      <c r="H69" s="32" t="str">
        <f>IF(L69&gt;0,B33,"")</f>
        <v>Aardappel in de pel</v>
      </c>
      <c r="I69" s="33"/>
      <c r="J69" s="33"/>
      <c r="K69" s="33"/>
      <c r="L69" s="35" t="str">
        <f>D33</f>
        <v>inbegrepen</v>
      </c>
      <c r="M69" s="50"/>
      <c r="N69" s="50"/>
      <c r="O69" s="50"/>
      <c r="P69" s="50"/>
      <c r="AA69" s="15">
        <f>matrixen!B142</f>
        <v>0</v>
      </c>
      <c r="AI69" s="15" t="s">
        <v>388</v>
      </c>
    </row>
    <row r="70" spans="2:35" x14ac:dyDescent="0.25">
      <c r="B70" s="14" t="s">
        <v>422</v>
      </c>
      <c r="D70" s="22"/>
      <c r="E70" s="22"/>
      <c r="H70" s="38" t="s">
        <v>175</v>
      </c>
      <c r="I70" s="33"/>
      <c r="J70" s="33"/>
      <c r="K70" s="33"/>
      <c r="L70" s="40" t="s">
        <v>118</v>
      </c>
      <c r="M70" s="50"/>
      <c r="N70" s="50"/>
      <c r="O70" s="50"/>
      <c r="P70" s="50"/>
      <c r="AA70" s="15" t="str">
        <f>matrixen!B143</f>
        <v>supplement per stukje gebak:</v>
      </c>
      <c r="AH70" s="15" t="str">
        <f>matrixen!M22</f>
        <v xml:space="preserve">Roomijs </v>
      </c>
      <c r="AI70" s="15" t="str">
        <f>IF($B$49=matrixen!$B$147,'selecteer hier uw barbecue'!AH70,"")</f>
        <v/>
      </c>
    </row>
    <row r="71" spans="2:35" x14ac:dyDescent="0.25">
      <c r="B71" s="57"/>
      <c r="D71" s="22"/>
      <c r="E71" s="24" t="s">
        <v>205</v>
      </c>
      <c r="F71" s="21"/>
      <c r="G71" s="9"/>
      <c r="H71" s="32"/>
      <c r="I71" s="33"/>
      <c r="J71" s="33"/>
      <c r="K71" s="33"/>
      <c r="L71" s="35"/>
      <c r="M71" s="46"/>
      <c r="N71" s="46"/>
      <c r="O71" s="46"/>
      <c r="P71" s="46"/>
      <c r="AA71" s="15">
        <f>matrixen!B144</f>
        <v>0</v>
      </c>
      <c r="AH71" s="15" t="str">
        <f>matrixen!M23</f>
        <v>Bruine chocolademousse</v>
      </c>
      <c r="AI71" s="15" t="str">
        <f>IF($B$49=matrixen!$B$147,'selecteer hier uw barbecue'!AH71,"")</f>
        <v/>
      </c>
    </row>
    <row r="72" spans="2:35" x14ac:dyDescent="0.25">
      <c r="B72" s="57"/>
      <c r="C72">
        <f>IFERROR(VLOOKUP(B71,matrixen!$A$301:$E$305,5,FALSE),0)</f>
        <v>0</v>
      </c>
      <c r="E72" s="24" t="s">
        <v>193</v>
      </c>
      <c r="F72" s="21"/>
      <c r="G72" s="9"/>
      <c r="H72" s="32"/>
      <c r="I72" s="33"/>
      <c r="J72" s="33"/>
      <c r="K72" s="33"/>
      <c r="L72" s="40">
        <f>F43</f>
        <v>0</v>
      </c>
      <c r="M72" s="50"/>
      <c r="N72" s="50"/>
      <c r="O72" s="50"/>
      <c r="P72" s="50"/>
      <c r="AA72" s="15" t="str">
        <f>matrixen!B145</f>
        <v>Nog geen dessert geselecteerd</v>
      </c>
      <c r="AH72" s="15" t="str">
        <f>matrixen!M24</f>
        <v>Pasteis de nata</v>
      </c>
      <c r="AI72" s="15" t="str">
        <f>IF($B$49=matrixen!$B$147,'selecteer hier uw barbecue'!AH72,"")</f>
        <v/>
      </c>
    </row>
    <row r="73" spans="2:35" x14ac:dyDescent="0.25">
      <c r="B73" s="57"/>
      <c r="C73">
        <f>IFERROR(VLOOKUP(B72,matrixen!$A$301:$E$305,5,FALSE),0)</f>
        <v>0</v>
      </c>
      <c r="H73" s="32"/>
      <c r="I73" s="33"/>
      <c r="J73" s="33"/>
      <c r="K73" s="33"/>
      <c r="L73" s="40">
        <f>F44</f>
        <v>0</v>
      </c>
      <c r="M73" s="39"/>
      <c r="N73" s="39"/>
      <c r="O73" s="39"/>
      <c r="P73" s="39"/>
      <c r="AA73" s="15" t="str">
        <f>matrixen!B146</f>
        <v>IJstaart ambachtelijk, speciale vorm, smaak naar keuze</v>
      </c>
      <c r="AH73" s="15" t="str">
        <f>matrixen!M25</f>
        <v>Chocoladebavarois</v>
      </c>
      <c r="AI73" s="15" t="str">
        <f>IF($B$49=matrixen!$B$147,'selecteer hier uw barbecue'!AH73,"")</f>
        <v/>
      </c>
    </row>
    <row r="74" spans="2:35" x14ac:dyDescent="0.25">
      <c r="B74" s="57"/>
      <c r="C74">
        <f>IFERROR(VLOOKUP(B73,matrixen!$A$301:$E$305,5,FALSE),0)</f>
        <v>0</v>
      </c>
      <c r="E74" s="24" t="s">
        <v>206</v>
      </c>
      <c r="F74" s="21"/>
      <c r="H74" s="38" t="str">
        <f>IF(B36=matrixen!$B$112,"",B36)</f>
        <v/>
      </c>
      <c r="I74" s="33"/>
      <c r="J74" s="33" t="str">
        <f>IF(F36=matrixen!$E$112,"",F36)</f>
        <v/>
      </c>
      <c r="K74" s="33"/>
      <c r="L74" s="35"/>
      <c r="M74" s="39"/>
      <c r="N74" s="39"/>
      <c r="O74" s="39"/>
      <c r="P74" s="39"/>
      <c r="AA74" s="15" t="str">
        <f>matrixen!B147</f>
        <v>Stel hieronder uw mini dessertbordje samen met minstens 4 dessertjes</v>
      </c>
      <c r="AH74" s="15" t="str">
        <f>matrixen!M26</f>
        <v>Miserable</v>
      </c>
      <c r="AI74" s="15" t="str">
        <f>IF($B$49=matrixen!$B$147,'selecteer hier uw barbecue'!AH74,"")</f>
        <v/>
      </c>
    </row>
    <row r="75" spans="2:35" x14ac:dyDescent="0.25">
      <c r="B75" s="14" t="s">
        <v>423</v>
      </c>
      <c r="C75">
        <f>IFERROR(VLOOKUP(B74,matrixen!$A$301:$E$305,5,FALSE),0)</f>
        <v>0</v>
      </c>
      <c r="E75" s="24" t="s">
        <v>182</v>
      </c>
      <c r="F75" s="21"/>
      <c r="H75" s="38" t="str">
        <f>IF(B37=matrixen!$B$112,"",B37)</f>
        <v/>
      </c>
      <c r="I75" s="33"/>
      <c r="J75" s="33" t="str">
        <f>IF(F37=matrixen!$E$112,"",F37)</f>
        <v/>
      </c>
      <c r="K75" s="33"/>
      <c r="L75" s="35"/>
      <c r="M75" s="39"/>
      <c r="N75" s="39"/>
      <c r="O75" s="39"/>
      <c r="P75" s="39"/>
      <c r="AA75" s="15" t="str">
        <f>matrixen!B148</f>
        <v>Coupe met vers fruit en verse slagroom.</v>
      </c>
      <c r="AH75" s="15" t="str">
        <f>matrixen!M27</f>
        <v>glaasje fruitsla met perensorbet</v>
      </c>
      <c r="AI75" s="15" t="str">
        <f>IF($B$49=matrixen!$B$147,'selecteer hier uw barbecue'!AH75,"")</f>
        <v/>
      </c>
    </row>
    <row r="76" spans="2:35" x14ac:dyDescent="0.25">
      <c r="B76" t="str">
        <f>matrixen!A301 &amp; " aan " &amp; matrixen!E301 &amp; " euro"</f>
        <v>Croque uit het vuistje aan 2,8 euro</v>
      </c>
      <c r="E76" s="24" t="s">
        <v>184</v>
      </c>
      <c r="F76" s="21"/>
      <c r="H76" s="38" t="str">
        <f>IF(B38=matrixen!$B$112,"",B38)</f>
        <v/>
      </c>
      <c r="I76" s="33"/>
      <c r="J76" s="33" t="str">
        <f>IF(F38=matrixen!$E$112,"",F38)</f>
        <v/>
      </c>
      <c r="K76" s="33"/>
      <c r="L76" s="40"/>
      <c r="M76" s="39"/>
      <c r="N76" s="39"/>
      <c r="O76" s="39"/>
      <c r="P76" s="39"/>
      <c r="AA76" s="15" t="str">
        <f>matrixen!B149</f>
        <v>Aardbeiensoepje met sinaasappel in seizoen</v>
      </c>
      <c r="AH76" s="15" t="str">
        <f>matrixen!M28</f>
        <v xml:space="preserve">Witte chocolademousse </v>
      </c>
      <c r="AI76" s="15" t="str">
        <f>IF($B$49=matrixen!$B$147,'selecteer hier uw barbecue'!AH76,"")</f>
        <v/>
      </c>
    </row>
    <row r="77" spans="2:35" x14ac:dyDescent="0.25">
      <c r="B77" t="str">
        <f>matrixen!A302 &amp; " aan " &amp; matrixen!E302 &amp; " euro"</f>
        <v>Pizza Margherita aan 4,5 euro</v>
      </c>
      <c r="E77" s="24" t="s">
        <v>186</v>
      </c>
      <c r="F77" s="21"/>
      <c r="H77" s="38" t="str">
        <f>IF(B39=matrixen!$B$112,"",B39)</f>
        <v/>
      </c>
      <c r="I77" s="33"/>
      <c r="J77" s="33" t="str">
        <f>IF(F39=matrixen!$E$112,"",F39)</f>
        <v/>
      </c>
      <c r="K77" s="33"/>
      <c r="L77" s="40"/>
      <c r="M77" s="39"/>
      <c r="N77" s="39"/>
      <c r="O77" s="39"/>
      <c r="P77" s="39"/>
      <c r="AA77" s="15" t="str">
        <f>matrixen!B150</f>
        <v>Coupe met aardbeien en verse slagroom.</v>
      </c>
      <c r="AH77" s="15" t="str">
        <f>matrixen!M29</f>
        <v xml:space="preserve">Roomsoes met warme chocoladesaus </v>
      </c>
      <c r="AI77" s="15" t="str">
        <f>IF($B$49=matrixen!$B$147,'selecteer hier uw barbecue'!AH77,"")</f>
        <v/>
      </c>
    </row>
    <row r="78" spans="2:35" x14ac:dyDescent="0.25">
      <c r="B78" t="str">
        <f>matrixen!A303 &amp; " aan " &amp; matrixen!E303 &amp; " euro"</f>
        <v>Belegde broodjes (2 pp) aan 4,5 euro</v>
      </c>
      <c r="E78" s="52" t="s">
        <v>326</v>
      </c>
      <c r="F78" s="57"/>
      <c r="H78" s="38" t="str">
        <f>IF(B40=matrixen!$B$112,"",B40)</f>
        <v/>
      </c>
      <c r="I78" s="33"/>
      <c r="J78" s="33" t="str">
        <f>IF(F40=matrixen!$E$112,"",F40)</f>
        <v/>
      </c>
      <c r="K78" s="33"/>
      <c r="L78" s="40"/>
      <c r="M78" s="39"/>
      <c r="N78" s="39"/>
      <c r="O78" s="39"/>
      <c r="P78" s="39"/>
      <c r="AA78" s="15" t="str">
        <f>matrixen!B151</f>
        <v>Dame blanche</v>
      </c>
      <c r="AH78" s="15" t="str">
        <f>matrixen!M30</f>
        <v>Tiramisu</v>
      </c>
      <c r="AI78" s="15" t="str">
        <f>IF($B$49=matrixen!$B$147,'selecteer hier uw barbecue'!AH78,"")</f>
        <v/>
      </c>
    </row>
    <row r="79" spans="2:35" x14ac:dyDescent="0.25">
      <c r="B79" t="str">
        <f>matrixen!A304 &amp; " aan " &amp; matrixen!E304 &amp; " euro"</f>
        <v>Braadworst aan 3 euro</v>
      </c>
      <c r="E79" s="24" t="s">
        <v>223</v>
      </c>
      <c r="F79" s="57"/>
      <c r="H79" s="45" t="s">
        <v>176</v>
      </c>
      <c r="I79" s="46">
        <f>D35</f>
        <v>36.9</v>
      </c>
      <c r="J79" s="33"/>
      <c r="K79" s="39" t="str">
        <f>IF(L79&gt;0,"supplement vis:","")</f>
        <v/>
      </c>
      <c r="L79" s="35">
        <f>D39</f>
        <v>0</v>
      </c>
      <c r="M79" s="50"/>
      <c r="N79" s="50"/>
      <c r="O79" s="50"/>
      <c r="P79" s="50"/>
      <c r="AA79" s="15" t="str">
        <f>matrixen!B152</f>
        <v>- frambozentaart</v>
      </c>
      <c r="AH79" s="15" t="str">
        <f>matrixen!M31</f>
        <v>Javanais</v>
      </c>
      <c r="AI79" s="15" t="str">
        <f>IF($B$49=matrixen!$B$147,'selecteer hier uw barbecue'!AH79,"")</f>
        <v/>
      </c>
    </row>
    <row r="80" spans="2:35" x14ac:dyDescent="0.25">
      <c r="B80" t="str">
        <f>matrixen!A305 &amp; " aan " &amp; matrixen!E305 &amp; " euro"</f>
        <v>Scampi (3pp) Nantua met farfale en broccoli aan 4,5 euro</v>
      </c>
      <c r="E80" s="24" t="s">
        <v>224</v>
      </c>
      <c r="F80" s="57"/>
      <c r="H80" s="41" t="str">
        <f>B45</f>
        <v>Huiswijn, bieren en frisdranken als forfait</v>
      </c>
      <c r="I80" s="37"/>
      <c r="J80" s="37"/>
      <c r="K80" s="37"/>
      <c r="L80" s="47">
        <f>D45</f>
        <v>3.8</v>
      </c>
      <c r="M80" s="50"/>
      <c r="N80" s="50"/>
      <c r="O80" s="50"/>
      <c r="P80" s="50"/>
      <c r="AA80" s="15" t="str">
        <f>matrixen!B153</f>
        <v>- progres</v>
      </c>
      <c r="AH80" s="15" t="str">
        <f>matrixen!M32</f>
        <v xml:space="preserve">Gebak peer-caramel </v>
      </c>
      <c r="AI80" s="15" t="str">
        <f>IF($B$49=matrixen!$B$147,'selecteer hier uw barbecue'!AH80,"")</f>
        <v/>
      </c>
    </row>
    <row r="81" spans="2:35" x14ac:dyDescent="0.25">
      <c r="E81" s="22" t="s">
        <v>211</v>
      </c>
      <c r="F81" s="56"/>
      <c r="H81" s="32" t="str">
        <f>IF(L81&gt;0,B49,"")</f>
        <v/>
      </c>
      <c r="I81" s="33"/>
      <c r="J81" s="33"/>
      <c r="K81" s="33"/>
      <c r="L81" s="35">
        <f>D49</f>
        <v>0</v>
      </c>
      <c r="M81" s="50"/>
      <c r="N81" s="50"/>
      <c r="O81" s="50"/>
      <c r="P81" s="50"/>
      <c r="AA81" s="15" t="str">
        <f>matrixen!B154</f>
        <v>- fruitgebakje</v>
      </c>
      <c r="AH81" s="15" t="str">
        <f>matrixen!M33</f>
        <v>mini fruittaartje</v>
      </c>
      <c r="AI81" s="15" t="str">
        <f>IF($B$49=matrixen!$B$147,'selecteer hier uw barbecue'!AH81,"")</f>
        <v/>
      </c>
    </row>
    <row r="82" spans="2:35" ht="15.75" thickBot="1" x14ac:dyDescent="0.3">
      <c r="C82" s="22" t="s">
        <v>216</v>
      </c>
      <c r="D82" s="22"/>
      <c r="H82" s="36" t="str">
        <f>IF(L82&gt;0,B60,"")</f>
        <v/>
      </c>
      <c r="I82" s="37"/>
      <c r="J82" s="37"/>
      <c r="K82" s="37"/>
      <c r="L82" s="47">
        <f>D60</f>
        <v>0</v>
      </c>
      <c r="M82" s="50"/>
      <c r="N82" s="50"/>
      <c r="O82" s="50"/>
      <c r="P82" s="50"/>
      <c r="AA82" s="15" t="str">
        <f>matrixen!B155</f>
        <v>- biscuit crème fraiche met coulis</v>
      </c>
    </row>
    <row r="83" spans="2:35" ht="15.75" thickBot="1" x14ac:dyDescent="0.3">
      <c r="D83" s="22"/>
      <c r="E83" s="52" t="s">
        <v>207</v>
      </c>
      <c r="F83" s="53">
        <f>Reservatievoorstel!I13</f>
        <v>1250</v>
      </c>
      <c r="H83" s="42" t="s">
        <v>219</v>
      </c>
      <c r="I83" s="43"/>
      <c r="J83" s="43"/>
      <c r="K83" s="43"/>
      <c r="L83" s="44" t="str">
        <f>E58</f>
        <v>direct afrekenen</v>
      </c>
      <c r="M83" s="46"/>
      <c r="N83" s="46"/>
      <c r="O83" s="46"/>
      <c r="P83" s="46"/>
      <c r="AA83" s="15" t="str">
        <f>matrixen!B156</f>
        <v>- warme appeltaart met een bolletje ijs</v>
      </c>
    </row>
    <row r="84" spans="2:35" ht="15.75" thickBot="1" x14ac:dyDescent="0.3">
      <c r="D84" s="22"/>
      <c r="F84" s="22" t="s">
        <v>208</v>
      </c>
      <c r="AA84" s="15" t="str">
        <f>matrixen!B157</f>
        <v>- zwarte woudtaart</v>
      </c>
    </row>
    <row r="85" spans="2:35" ht="15.75" thickBot="1" x14ac:dyDescent="0.3">
      <c r="D85" s="22"/>
      <c r="E85" s="52" t="s">
        <v>217</v>
      </c>
      <c r="F85" s="53">
        <f>F83*0.02</f>
        <v>25</v>
      </c>
      <c r="AA85" s="15" t="str">
        <f>matrixen!B158</f>
        <v>Sabayon met rood fruit</v>
      </c>
    </row>
    <row r="86" spans="2:35" ht="19.5" thickBot="1" x14ac:dyDescent="0.35">
      <c r="B86" s="14" t="s">
        <v>119</v>
      </c>
      <c r="E86" s="52" t="s">
        <v>218</v>
      </c>
      <c r="F86" s="53">
        <f>F83-F85</f>
        <v>1225</v>
      </c>
      <c r="H86" s="14" t="s">
        <v>179</v>
      </c>
      <c r="K86" s="57" t="s">
        <v>171</v>
      </c>
      <c r="AA86" s="15">
        <f>matrixen!B159</f>
        <v>0</v>
      </c>
    </row>
    <row r="87" spans="2:35" x14ac:dyDescent="0.25">
      <c r="J87" s="64" t="str">
        <f>"Wenst u exclusiviteit voor het volledige domein mits meerprijs van € "&amp;matrixen!F222&amp;" ?"</f>
        <v>Wenst u exclusiviteit voor het volledige domein mits meerprijs van € 750 ?</v>
      </c>
      <c r="K87" s="57" t="s">
        <v>154</v>
      </c>
      <c r="L87" s="15">
        <f>IF(K87="ja",matrixen!F222,0)</f>
        <v>0</v>
      </c>
      <c r="AA87" s="15" t="str">
        <f>matrixen!B160</f>
        <v>Basis dessertbuffet met:</v>
      </c>
    </row>
    <row r="88" spans="2:35" x14ac:dyDescent="0.25">
      <c r="B88" s="21" t="s">
        <v>287</v>
      </c>
      <c r="D88" s="16">
        <f>VLOOKUP(B88,matrixen!B23:I26,8,FALSE)</f>
        <v>0</v>
      </c>
      <c r="J88" s="14" t="s">
        <v>253</v>
      </c>
      <c r="K88" s="160" t="s">
        <v>220</v>
      </c>
      <c r="L88" s="160"/>
      <c r="M88" s="160"/>
      <c r="N88" s="160"/>
      <c r="O88" s="160"/>
      <c r="P88" s="160"/>
      <c r="Q88" s="160"/>
      <c r="R88" s="160"/>
      <c r="AA88" s="15" t="str">
        <f>matrixen!B161</f>
        <v>Uitgebreid dessertbuffet met:</v>
      </c>
    </row>
    <row r="89" spans="2:35" x14ac:dyDescent="0.25">
      <c r="B89" s="15" t="s">
        <v>287</v>
      </c>
      <c r="K89" s="15" t="s">
        <v>220</v>
      </c>
      <c r="AA89" s="15" t="str">
        <f>matrixen!B162</f>
        <v>Uitgebreid en luxueus dessertbuffet met:</v>
      </c>
    </row>
    <row r="90" spans="2:35" ht="15" customHeight="1" x14ac:dyDescent="0.25">
      <c r="J90" s="64" t="s">
        <v>252</v>
      </c>
      <c r="K90" s="161" t="s">
        <v>316</v>
      </c>
      <c r="L90" s="161"/>
      <c r="M90" s="161"/>
      <c r="N90" s="161"/>
      <c r="O90" s="161"/>
      <c r="P90" s="161"/>
      <c r="Q90" s="161"/>
      <c r="R90" s="161"/>
      <c r="S90" s="161"/>
      <c r="T90" s="161"/>
      <c r="U90" s="161"/>
      <c r="V90" s="161"/>
      <c r="W90" s="161"/>
      <c r="X90" s="161"/>
      <c r="Y90" s="161"/>
      <c r="AA90" s="15">
        <f>matrixen!B163</f>
        <v>0</v>
      </c>
    </row>
    <row r="91" spans="2:35" x14ac:dyDescent="0.25">
      <c r="B91" s="14"/>
      <c r="K91" s="161"/>
      <c r="L91" s="161"/>
      <c r="M91" s="161"/>
      <c r="N91" s="161"/>
      <c r="O91" s="161"/>
      <c r="P91" s="161"/>
      <c r="Q91" s="161"/>
      <c r="R91" s="161"/>
      <c r="S91" s="161"/>
      <c r="T91" s="161"/>
      <c r="U91" s="161"/>
      <c r="V91" s="161"/>
      <c r="W91" s="161"/>
      <c r="X91" s="161"/>
      <c r="Y91" s="161"/>
      <c r="AA91" s="15">
        <f>matrixen!B164</f>
        <v>0</v>
      </c>
      <c r="AB91" s="15" t="str">
        <f>matrixen!B169</f>
        <v>Nog geen keuze gemaakt</v>
      </c>
    </row>
    <row r="92" spans="2:35" x14ac:dyDescent="0.25">
      <c r="J92" s="64" t="s">
        <v>264</v>
      </c>
      <c r="K92" s="57" t="s">
        <v>154</v>
      </c>
      <c r="AB92" s="15" t="str">
        <f>matrixen!B170</f>
        <v>Koffie 3 X bediend</v>
      </c>
    </row>
    <row r="93" spans="2:35" x14ac:dyDescent="0.25">
      <c r="E93" s="15">
        <f>SUMIF(B94:B98,"warme toostjes per stuk",D94:D98)</f>
        <v>0</v>
      </c>
      <c r="F93" s="1" t="str">
        <f>IF($E$93&gt;0,matrixen!B58,"")</f>
        <v/>
      </c>
      <c r="G93" s="15">
        <f>SUMIF(B94:B98,"koude toostjes per stuk",D94:D98)</f>
        <v>0</v>
      </c>
      <c r="H93" s="1" t="str">
        <f>IF($G$93&gt;0,matrixen!E58,"")</f>
        <v/>
      </c>
      <c r="AB93" s="15" t="str">
        <f>matrixen!B171</f>
        <v>Koffie 3 X bediend met koekjes</v>
      </c>
    </row>
    <row r="94" spans="2:35" x14ac:dyDescent="0.25">
      <c r="F94" s="1" t="str">
        <f>IF($E$93&gt;0,matrixen!B59,"")</f>
        <v/>
      </c>
      <c r="G94" s="1"/>
      <c r="H94" s="1" t="str">
        <f>IF($G$93&gt;0,matrixen!E59,"")</f>
        <v/>
      </c>
      <c r="I94" s="15">
        <f>SUMIF(B94:B98,"aperitiefglaasjes per stuk",D94:D98)</f>
        <v>0</v>
      </c>
      <c r="J94" s="1" t="str">
        <f>IF($I$94&gt;0,matrixen!H59,"")</f>
        <v/>
      </c>
      <c r="K94" s="1"/>
      <c r="AB94" s="15" t="str">
        <f>matrixen!B172</f>
        <v>Koffie 3 X bediend met pralines</v>
      </c>
    </row>
    <row r="95" spans="2:35" x14ac:dyDescent="0.25">
      <c r="F95" s="1" t="str">
        <f>IF($E$93&gt;0,matrixen!B60,"")</f>
        <v/>
      </c>
      <c r="G95" s="1"/>
      <c r="H95" s="1" t="str">
        <f>IF($G$93&gt;0,matrixen!E60,"")</f>
        <v/>
      </c>
      <c r="J95" s="1" t="str">
        <f>IF($I$94&gt;0,matrixen!H60,"")</f>
        <v/>
      </c>
      <c r="K95" s="1"/>
      <c r="AA95" s="15">
        <f>matrixen!B173</f>
        <v>0</v>
      </c>
    </row>
    <row r="96" spans="2:35" x14ac:dyDescent="0.25">
      <c r="F96" s="1" t="str">
        <f>IF($E$93&gt;0,matrixen!B61,"")</f>
        <v/>
      </c>
      <c r="G96" s="1"/>
      <c r="H96" s="1" t="str">
        <f>IF($G$93&gt;0,matrixen!E61,"")</f>
        <v/>
      </c>
      <c r="J96" s="1" t="str">
        <f>IF($I$94&gt;0,matrixen!H61,"")</f>
        <v/>
      </c>
      <c r="K96" s="1"/>
      <c r="AA96" s="49" t="str">
        <f>matrixen!A176</f>
        <v>Alle drank na de maaltijd komt op één rekening en wordt door de organisator van het feest betaald</v>
      </c>
    </row>
    <row r="97" spans="4:27" x14ac:dyDescent="0.25">
      <c r="F97" s="1" t="str">
        <f>IF($E$93&gt;0,matrixen!B62,"")</f>
        <v/>
      </c>
      <c r="G97" s="1"/>
      <c r="H97" s="1" t="str">
        <f>IF($G$93&gt;0,matrixen!E62,"")</f>
        <v/>
      </c>
      <c r="J97" s="1" t="str">
        <f>IF($I$94&gt;0,matrixen!H62,"")</f>
        <v/>
      </c>
      <c r="K97" s="1"/>
      <c r="AA97" s="49" t="str">
        <f>matrixen!A177</f>
        <v>Elke gast die na de maaltijd een drankje bestelt rekent direct af aan de bar</v>
      </c>
    </row>
    <row r="98" spans="4:27" x14ac:dyDescent="0.25">
      <c r="F98" s="1" t="str">
        <f>IF($E$93&gt;0,matrixen!B63,"")</f>
        <v/>
      </c>
      <c r="G98" s="1"/>
      <c r="H98" s="1" t="str">
        <f>IF($G$93&gt;0,matrixen!E63,"")</f>
        <v/>
      </c>
      <c r="I98" s="1"/>
      <c r="J98" s="1" t="str">
        <f>IF($I$94&gt;0,matrixen!H63,"")</f>
        <v/>
      </c>
      <c r="K98" s="1"/>
      <c r="AA98" s="49" t="str">
        <f>matrixen!A178</f>
        <v xml:space="preserve">Forfait voor drank naar believen (alle bieren en frisdranken van de drankkaart in de zaal) na een maaltijd. pp: </v>
      </c>
    </row>
    <row r="99" spans="4:27" x14ac:dyDescent="0.25">
      <c r="F99" s="1" t="str">
        <f>IF($E$93&gt;0,matrixen!B64,"")</f>
        <v/>
      </c>
      <c r="H99" s="1" t="str">
        <f>IF($G$93&gt;0,matrixen!E64,"")</f>
        <v/>
      </c>
    </row>
    <row r="100" spans="4:27" x14ac:dyDescent="0.25">
      <c r="D100" s="22"/>
      <c r="AA100" s="15" t="str">
        <f>matrixen!A204</f>
        <v>ja</v>
      </c>
    </row>
    <row r="101" spans="4:27" x14ac:dyDescent="0.25">
      <c r="D101" s="22"/>
      <c r="AA101" s="15" t="str">
        <f>matrixen!A205</f>
        <v>nee</v>
      </c>
    </row>
    <row r="102" spans="4:27" x14ac:dyDescent="0.25">
      <c r="D102" s="22"/>
    </row>
    <row r="103" spans="4:27" x14ac:dyDescent="0.25">
      <c r="D103" s="22"/>
      <c r="AA103" s="15" t="s">
        <v>220</v>
      </c>
    </row>
    <row r="104" spans="4:27" x14ac:dyDescent="0.25">
      <c r="D104" s="22"/>
      <c r="AA104" s="15" t="s">
        <v>222</v>
      </c>
    </row>
    <row r="105" spans="4:27" x14ac:dyDescent="0.25">
      <c r="D105" s="22"/>
      <c r="AA105" s="15" t="s">
        <v>221</v>
      </c>
    </row>
    <row r="106" spans="4:27" x14ac:dyDescent="0.25">
      <c r="D106" s="22"/>
    </row>
    <row r="107" spans="4:27" x14ac:dyDescent="0.25">
      <c r="D107" s="22"/>
      <c r="AA107" s="15" t="str">
        <f>matrixen!A380</f>
        <v>Betaling op de dag zelf (cash of bancontact), u bekomt 2% korting op het totaal</v>
      </c>
    </row>
    <row r="108" spans="4:27" x14ac:dyDescent="0.25">
      <c r="D108" s="22"/>
      <c r="AA108" s="15" t="str">
        <f>matrixen!A381</f>
        <v>Storting op BE 48 4631 1391 2127 min. 7 dagen voor het feest, 2% korting</v>
      </c>
    </row>
    <row r="109" spans="4:27" x14ac:dyDescent="0.25">
      <c r="D109" s="22"/>
      <c r="AA109" s="15" t="str">
        <f>matrixen!A382</f>
        <v>Betaling na het feest. Gelieve 40 % voorschot te storten op BE48 4631 1391 2127. Geen korting.</v>
      </c>
    </row>
    <row r="110" spans="4:27" x14ac:dyDescent="0.25">
      <c r="D110" s="22"/>
    </row>
    <row r="111" spans="4:27" x14ac:dyDescent="0.25">
      <c r="D111" s="22"/>
    </row>
    <row r="112" spans="4:27" x14ac:dyDescent="0.25">
      <c r="D112" s="22"/>
    </row>
    <row r="113" spans="4:4" x14ac:dyDescent="0.25">
      <c r="D113" s="22"/>
    </row>
    <row r="114" spans="4:4" x14ac:dyDescent="0.25">
      <c r="D114" s="22"/>
    </row>
    <row r="115" spans="4:4" x14ac:dyDescent="0.25">
      <c r="D115" s="22"/>
    </row>
    <row r="116" spans="4:4" x14ac:dyDescent="0.25">
      <c r="D116" s="22"/>
    </row>
    <row r="117" spans="4:4" x14ac:dyDescent="0.25">
      <c r="D117" s="22"/>
    </row>
    <row r="118" spans="4:4" x14ac:dyDescent="0.25">
      <c r="D118" s="22"/>
    </row>
    <row r="119" spans="4:4" x14ac:dyDescent="0.25">
      <c r="D119" s="22"/>
    </row>
    <row r="120" spans="4:4" x14ac:dyDescent="0.25">
      <c r="D120" s="22"/>
    </row>
    <row r="121" spans="4:4" x14ac:dyDescent="0.25">
      <c r="D121" s="22"/>
    </row>
    <row r="122" spans="4:4" x14ac:dyDescent="0.25">
      <c r="D122" s="22"/>
    </row>
    <row r="123" spans="4:4" x14ac:dyDescent="0.25">
      <c r="D123" s="22"/>
    </row>
    <row r="124" spans="4:4" x14ac:dyDescent="0.25">
      <c r="D124" s="22"/>
    </row>
    <row r="125" spans="4:4" x14ac:dyDescent="0.25">
      <c r="D125" s="22"/>
    </row>
    <row r="126" spans="4:4" x14ac:dyDescent="0.25">
      <c r="D126" s="22"/>
    </row>
    <row r="134" spans="2:4" x14ac:dyDescent="0.25">
      <c r="D134" s="22"/>
    </row>
    <row r="135" spans="2:4" x14ac:dyDescent="0.25">
      <c r="B135" s="22"/>
      <c r="D135" s="22"/>
    </row>
    <row r="136" spans="2:4" x14ac:dyDescent="0.25">
      <c r="D136" s="22"/>
    </row>
  </sheetData>
  <sheetProtection algorithmName="SHA-512" hashValue="q8SHgdOpFsGbGknaJh+7kDjyngyJFieAit2ELUkOQqKe3em/9ccia/pNsxcPiEdXPPZewTy3Iq+DRoXNgUJbaw==" saltValue="lEOJW9HHEfzg3G+a4IT4/Q==" spinCount="100000" sheet="1" objects="1" scenarios="1" selectLockedCells="1"/>
  <mergeCells count="22">
    <mergeCell ref="K90:Y91"/>
    <mergeCell ref="K88:R88"/>
    <mergeCell ref="F36:H36"/>
    <mergeCell ref="F37:H37"/>
    <mergeCell ref="F38:H38"/>
    <mergeCell ref="F39:H39"/>
    <mergeCell ref="F40:H40"/>
    <mergeCell ref="F43:H43"/>
    <mergeCell ref="F44:H44"/>
    <mergeCell ref="F42:K42"/>
    <mergeCell ref="F33:H33"/>
    <mergeCell ref="G13:K13"/>
    <mergeCell ref="G14:K14"/>
    <mergeCell ref="G15:K15"/>
    <mergeCell ref="G16:K16"/>
    <mergeCell ref="G17:K17"/>
    <mergeCell ref="G18:K18"/>
    <mergeCell ref="G19:K19"/>
    <mergeCell ref="G20:K20"/>
    <mergeCell ref="G21:K21"/>
    <mergeCell ref="G22:K22"/>
    <mergeCell ref="G23:K23"/>
  </mergeCells>
  <conditionalFormatting sqref="F93:F94 H93:H94 J94">
    <cfRule type="notContainsBlanks" dxfId="17" priority="7">
      <formula>LEN(TRIM(F93))&gt;0</formula>
    </cfRule>
  </conditionalFormatting>
  <conditionalFormatting sqref="G72">
    <cfRule type="cellIs" dxfId="16" priority="5" operator="greaterThan">
      <formula>604.73</formula>
    </cfRule>
    <cfRule type="cellIs" dxfId="15" priority="6" operator="greaterThan">
      <formula>0</formula>
    </cfRule>
  </conditionalFormatting>
  <conditionalFormatting sqref="B42">
    <cfRule type="containsText" dxfId="14" priority="1" operator="containsText" text="meerprijs">
      <formula>NOT(ISERROR(SEARCH("meerprijs",B42)))</formula>
    </cfRule>
    <cfRule type="containsText" dxfId="13" priority="4" operator="containsText" text="gelieve">
      <formula>NOT(ISERROR(SEARCH("gelieve",B42)))</formula>
    </cfRule>
  </conditionalFormatting>
  <conditionalFormatting sqref="F42">
    <cfRule type="containsText" dxfId="12" priority="2" operator="containsText" text="saus">
      <formula>NOT(ISERROR(SEARCH("saus",F42)))</formula>
    </cfRule>
  </conditionalFormatting>
  <dataValidations xWindow="351" yWindow="408" count="20">
    <dataValidation type="whole" errorStyle="warning" allowBlank="1" showInputMessage="1" showErrorMessage="1" errorTitle="Bent u zeker?" error="U geeft bij voorkeur een getal in  tussen 10 en 250. Let op de verkoopsvoorwaarden punt 7!" sqref="F66" xr:uid="{00000000-0002-0000-0000-000000000000}">
      <formula1>10</formula1>
      <formula2>250</formula2>
    </dataValidation>
    <dataValidation type="list" allowBlank="1" showInputMessage="1" showErrorMessage="1" promptTitle="OPGELET!" prompt="Hier alleen iets wijzigen indien u zonet koos voor receptie A,B,C,D,E of F" sqref="B88" xr:uid="{00000000-0002-0000-0000-000001000000}">
      <formula1>$AA$23:$AA$25</formula1>
    </dataValidation>
    <dataValidation type="list" allowBlank="1" showInputMessage="1" showErrorMessage="1" sqref="B33" xr:uid="{00000000-0002-0000-0000-000002000000}">
      <formula1>$AA$42:$AA$45</formula1>
    </dataValidation>
    <dataValidation type="list" allowBlank="1" showInputMessage="1" showErrorMessage="1" sqref="B36:B40" xr:uid="{00000000-0002-0000-0000-000003000000}">
      <formula1>$AA$47:$AA$56</formula1>
    </dataValidation>
    <dataValidation type="list" allowBlank="1" showInputMessage="1" showErrorMessage="1" sqref="B45" xr:uid="{00000000-0002-0000-0000-000004000000}">
      <formula1>$AA$65:$AA$66</formula1>
    </dataValidation>
    <dataValidation type="list" allowBlank="1" showInputMessage="1" showErrorMessage="1" promptTitle="TIP!" prompt="Het uitgebreid dessertbuffet staat helemaal onderaan!" sqref="B49" xr:uid="{00000000-0002-0000-0000-000005000000}">
      <formula1>$AA$72:$AA$89</formula1>
    </dataValidation>
    <dataValidation type="list" allowBlank="1" showInputMessage="1" showErrorMessage="1" sqref="B62" xr:uid="{00000000-0002-0000-0000-000006000000}">
      <formula1>$AA$96:$AA$98</formula1>
    </dataValidation>
    <dataValidation type="list" allowBlank="1" showInputMessage="1" showErrorMessage="1" sqref="G60 I58 I60 G58 K58 K92 K86:K87" xr:uid="{00000000-0002-0000-0000-000007000000}">
      <formula1>$AA$100:$AA$101</formula1>
    </dataValidation>
    <dataValidation type="date" operator="greaterThan" allowBlank="1" showInputMessage="1" showErrorMessage="1" prompt="Om uw keuze te bewaren, kies “opslaan als” en sla het bestand op op uw harde schijf. " sqref="F64" xr:uid="{00000000-0002-0000-0000-000008000000}">
      <formula1>K95</formula1>
    </dataValidation>
    <dataValidation type="list" allowBlank="1" showInputMessage="1" showErrorMessage="1" sqref="K88" xr:uid="{00000000-0002-0000-0000-000009000000}">
      <formula1>$AA$103:$AA$105</formula1>
    </dataValidation>
    <dataValidation type="list" allowBlank="1" showInputMessage="1" showErrorMessage="1" sqref="B13" xr:uid="{00000000-0002-0000-0000-00000A000000}">
      <formula1>$AA$13:$AA$21</formula1>
    </dataValidation>
    <dataValidation type="whole" allowBlank="1" showInputMessage="1" showErrorMessage="1" sqref="F67:F69" xr:uid="{00000000-0002-0000-0000-00000B000000}">
      <formula1>0</formula1>
      <formula2>100</formula2>
    </dataValidation>
    <dataValidation type="list" allowBlank="1" showInputMessage="1" showErrorMessage="1" sqref="F36:H40" xr:uid="{00000000-0002-0000-0000-00000C000000}">
      <formula1>$AB$58:$AB$65</formula1>
    </dataValidation>
    <dataValidation type="list" allowBlank="1" showInputMessage="1" showErrorMessage="1" sqref="F43:H44" xr:uid="{00000000-0002-0000-0000-00000D000000}">
      <formula1>$AF$41:$AF$49</formula1>
    </dataValidation>
    <dataValidation type="list" allowBlank="1" showInputMessage="1" showErrorMessage="1" sqref="B60" xr:uid="{00000000-0002-0000-0000-00000E000000}">
      <formula1>$AB$91:$AB$94</formula1>
    </dataValidation>
    <dataValidation type="list" allowBlank="1" showInputMessage="1" showErrorMessage="1" sqref="K90:Y91" xr:uid="{00000000-0002-0000-0000-00000F000000}">
      <formula1>$AA$107:$AA$109</formula1>
    </dataValidation>
    <dataValidation type="list" allowBlank="1" showInputMessage="1" showErrorMessage="1" sqref="B20" xr:uid="{00000000-0002-0000-0000-000010000000}">
      <formula1>$B$22:$B$23</formula1>
    </dataValidation>
    <dataValidation type="list" allowBlank="1" showInputMessage="1" showErrorMessage="1" sqref="F33" xr:uid="{00000000-0002-0000-0000-000011000000}">
      <formula1>$AA$39:$AA$40</formula1>
    </dataValidation>
    <dataValidation type="list" allowBlank="1" showInputMessage="1" showErrorMessage="1" errorTitle="NCBR" error="U kunt in dit vak alleen iets selecteren als u kiest voor &quot;mini dessertbordje&quot; om zelf samen te stellen. U moet eerst uw dessert wijzigen._x000a__x000a_" sqref="B52:B58" xr:uid="{00000000-0002-0000-0000-000012000000}">
      <formula1>dessertjes</formula1>
    </dataValidation>
    <dataValidation type="list" allowBlank="1" showInputMessage="1" showErrorMessage="1" sqref="G13:K23" xr:uid="{00000000-0002-0000-0000-000014000000}">
      <formula1>hapjes</formula1>
    </dataValidation>
  </dataValidations>
  <pageMargins left="0.7" right="0.7" top="0.75" bottom="0.75" header="0.3" footer="0.3"/>
  <pageSetup paperSize="9" orientation="portrait" horizontalDpi="300" verticalDpi="300" r:id="rId1"/>
  <ignoredErrors>
    <ignoredError sqref="F7" numberStoredAsText="1"/>
    <ignoredError sqref="F8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Zet_alle_waarden_terug_op_nul">
                <anchor moveWithCells="1" sizeWithCells="1">
                  <from>
                    <xdr:col>1</xdr:col>
                    <xdr:colOff>19050</xdr:colOff>
                    <xdr:row>4</xdr:row>
                    <xdr:rowOff>9525</xdr:rowOff>
                  </from>
                  <to>
                    <xdr:col>1</xdr:col>
                    <xdr:colOff>1724025</xdr:colOff>
                    <xdr:row>7</xdr:row>
                    <xdr:rowOff>200025</xdr:rowOff>
                  </to>
                </anchor>
              </controlPr>
            </control>
          </mc:Choice>
        </mc:AlternateContent>
        <mc:AlternateContent xmlns:mc="http://schemas.openxmlformats.org/markup-compatibility/2006">
          <mc:Choice Requires="x14">
            <control shapeId="1027" r:id="rId5" name="Button 3">
              <controlPr defaultSize="0" print="0" autoFill="0" autoPict="0" macro="[0]!Druk_voorstel_af">
                <anchor moveWithCells="1" sizeWithCells="1">
                  <from>
                    <xdr:col>1</xdr:col>
                    <xdr:colOff>1933575</xdr:colOff>
                    <xdr:row>4</xdr:row>
                    <xdr:rowOff>19050</xdr:rowOff>
                  </from>
                  <to>
                    <xdr:col>1</xdr:col>
                    <xdr:colOff>3933825</xdr:colOff>
                    <xdr:row>7</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1" yWindow="408" count="3">
        <x14:dataValidation type="list" allowBlank="1" showInputMessage="1" showErrorMessage="1" xr:uid="{00000000-0002-0000-0000-000013000000}">
          <x14:formula1>
            <xm:f>matrixen!$A$380:$A$382</xm:f>
          </x14:formula1>
          <xm:sqref>K90</xm:sqref>
        </x14:dataValidation>
        <x14:dataValidation type="list" allowBlank="1" showInputMessage="1" showErrorMessage="1" xr:uid="{E279E955-164A-4A22-835F-65E9B594BE64}">
          <x14:formula1>
            <xm:f>matrixen!$A$301:$A$305</xm:f>
          </x14:formula1>
          <xm:sqref>B71:B74</xm:sqref>
        </x14:dataValidation>
        <x14:dataValidation type="list" allowBlank="1" showInputMessage="1" showErrorMessage="1" xr:uid="{81362824-BD84-47F6-B4B6-3CD5C147601A}">
          <x14:formula1>
            <xm:f>matrixen!$A$500:$A$521</xm:f>
          </x14:formula1>
          <xm:sqref>H62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M523"/>
  <sheetViews>
    <sheetView showGridLines="0" showRowColHeaders="0" workbookViewId="0"/>
  </sheetViews>
  <sheetFormatPr defaultRowHeight="15" x14ac:dyDescent="0.25"/>
  <cols>
    <col min="1" max="2" width="9.28515625" style="15" bestFit="1" customWidth="1"/>
    <col min="3" max="3" width="9.140625" style="15"/>
    <col min="4" max="4" width="9.28515625" style="15" bestFit="1" customWidth="1"/>
    <col min="5" max="5" width="9.5703125" style="15" bestFit="1" customWidth="1"/>
    <col min="6" max="9" width="9.28515625" style="15" bestFit="1" customWidth="1"/>
    <col min="10" max="10" width="9.140625" style="15"/>
    <col min="11" max="11" width="10.5703125" style="15" bestFit="1" customWidth="1"/>
    <col min="12" max="12" width="10.5703125" style="15" customWidth="1"/>
    <col min="13" max="19" width="24.28515625" style="15" customWidth="1"/>
    <col min="20" max="20" width="10.5703125" style="15" customWidth="1"/>
    <col min="21" max="21" width="27.5703125" style="15" bestFit="1" customWidth="1"/>
    <col min="22" max="22" width="30" style="15" customWidth="1"/>
    <col min="23" max="23" width="16.5703125" style="15" customWidth="1"/>
    <col min="24" max="24" width="11.28515625" style="15" customWidth="1"/>
    <col min="25" max="25" width="5.5703125" style="15" customWidth="1"/>
    <col min="26" max="26" width="13.7109375" style="15" customWidth="1"/>
    <col min="27" max="27" width="59" style="15" customWidth="1"/>
    <col min="28" max="266" width="9.140625" style="15"/>
    <col min="267" max="267" width="10.5703125" style="15" bestFit="1" customWidth="1"/>
    <col min="268" max="268" width="10.5703125" style="15" customWidth="1"/>
    <col min="269" max="275" width="24.28515625" style="15" customWidth="1"/>
    <col min="276" max="276" width="10.5703125" style="15" customWidth="1"/>
    <col min="277" max="277" width="27.5703125" style="15" bestFit="1" customWidth="1"/>
    <col min="278" max="278" width="30" style="15" customWidth="1"/>
    <col min="279" max="279" width="16.5703125" style="15" customWidth="1"/>
    <col min="280" max="280" width="11.28515625" style="15" customWidth="1"/>
    <col min="281" max="281" width="5.5703125" style="15" customWidth="1"/>
    <col min="282" max="282" width="13.7109375" style="15" customWidth="1"/>
    <col min="283" max="283" width="59" style="15" customWidth="1"/>
    <col min="284" max="522" width="9.140625" style="15"/>
    <col min="523" max="523" width="10.5703125" style="15" bestFit="1" customWidth="1"/>
    <col min="524" max="524" width="10.5703125" style="15" customWidth="1"/>
    <col min="525" max="531" width="24.28515625" style="15" customWidth="1"/>
    <col min="532" max="532" width="10.5703125" style="15" customWidth="1"/>
    <col min="533" max="533" width="27.5703125" style="15" bestFit="1" customWidth="1"/>
    <col min="534" max="534" width="30" style="15" customWidth="1"/>
    <col min="535" max="535" width="16.5703125" style="15" customWidth="1"/>
    <col min="536" max="536" width="11.28515625" style="15" customWidth="1"/>
    <col min="537" max="537" width="5.5703125" style="15" customWidth="1"/>
    <col min="538" max="538" width="13.7109375" style="15" customWidth="1"/>
    <col min="539" max="539" width="59" style="15" customWidth="1"/>
    <col min="540" max="778" width="9.140625" style="15"/>
    <col min="779" max="779" width="10.5703125" style="15" bestFit="1" customWidth="1"/>
    <col min="780" max="780" width="10.5703125" style="15" customWidth="1"/>
    <col min="781" max="787" width="24.28515625" style="15" customWidth="1"/>
    <col min="788" max="788" width="10.5703125" style="15" customWidth="1"/>
    <col min="789" max="789" width="27.5703125" style="15" bestFit="1" customWidth="1"/>
    <col min="790" max="790" width="30" style="15" customWidth="1"/>
    <col min="791" max="791" width="16.5703125" style="15" customWidth="1"/>
    <col min="792" max="792" width="11.28515625" style="15" customWidth="1"/>
    <col min="793" max="793" width="5.5703125" style="15" customWidth="1"/>
    <col min="794" max="794" width="13.7109375" style="15" customWidth="1"/>
    <col min="795" max="795" width="59" style="15" customWidth="1"/>
    <col min="796" max="1034" width="9.140625" style="15"/>
    <col min="1035" max="1035" width="10.5703125" style="15" bestFit="1" customWidth="1"/>
    <col min="1036" max="1036" width="10.5703125" style="15" customWidth="1"/>
    <col min="1037" max="1043" width="24.28515625" style="15" customWidth="1"/>
    <col min="1044" max="1044" width="10.5703125" style="15" customWidth="1"/>
    <col min="1045" max="1045" width="27.5703125" style="15" bestFit="1" customWidth="1"/>
    <col min="1046" max="1046" width="30" style="15" customWidth="1"/>
    <col min="1047" max="1047" width="16.5703125" style="15" customWidth="1"/>
    <col min="1048" max="1048" width="11.28515625" style="15" customWidth="1"/>
    <col min="1049" max="1049" width="5.5703125" style="15" customWidth="1"/>
    <col min="1050" max="1050" width="13.7109375" style="15" customWidth="1"/>
    <col min="1051" max="1051" width="59" style="15" customWidth="1"/>
    <col min="1052" max="1290" width="9.140625" style="15"/>
    <col min="1291" max="1291" width="10.5703125" style="15" bestFit="1" customWidth="1"/>
    <col min="1292" max="1292" width="10.5703125" style="15" customWidth="1"/>
    <col min="1293" max="1299" width="24.28515625" style="15" customWidth="1"/>
    <col min="1300" max="1300" width="10.5703125" style="15" customWidth="1"/>
    <col min="1301" max="1301" width="27.5703125" style="15" bestFit="1" customWidth="1"/>
    <col min="1302" max="1302" width="30" style="15" customWidth="1"/>
    <col min="1303" max="1303" width="16.5703125" style="15" customWidth="1"/>
    <col min="1304" max="1304" width="11.28515625" style="15" customWidth="1"/>
    <col min="1305" max="1305" width="5.5703125" style="15" customWidth="1"/>
    <col min="1306" max="1306" width="13.7109375" style="15" customWidth="1"/>
    <col min="1307" max="1307" width="59" style="15" customWidth="1"/>
    <col min="1308" max="1546" width="9.140625" style="15"/>
    <col min="1547" max="1547" width="10.5703125" style="15" bestFit="1" customWidth="1"/>
    <col min="1548" max="1548" width="10.5703125" style="15" customWidth="1"/>
    <col min="1549" max="1555" width="24.28515625" style="15" customWidth="1"/>
    <col min="1556" max="1556" width="10.5703125" style="15" customWidth="1"/>
    <col min="1557" max="1557" width="27.5703125" style="15" bestFit="1" customWidth="1"/>
    <col min="1558" max="1558" width="30" style="15" customWidth="1"/>
    <col min="1559" max="1559" width="16.5703125" style="15" customWidth="1"/>
    <col min="1560" max="1560" width="11.28515625" style="15" customWidth="1"/>
    <col min="1561" max="1561" width="5.5703125" style="15" customWidth="1"/>
    <col min="1562" max="1562" width="13.7109375" style="15" customWidth="1"/>
    <col min="1563" max="1563" width="59" style="15" customWidth="1"/>
    <col min="1564" max="1802" width="9.140625" style="15"/>
    <col min="1803" max="1803" width="10.5703125" style="15" bestFit="1" customWidth="1"/>
    <col min="1804" max="1804" width="10.5703125" style="15" customWidth="1"/>
    <col min="1805" max="1811" width="24.28515625" style="15" customWidth="1"/>
    <col min="1812" max="1812" width="10.5703125" style="15" customWidth="1"/>
    <col min="1813" max="1813" width="27.5703125" style="15" bestFit="1" customWidth="1"/>
    <col min="1814" max="1814" width="30" style="15" customWidth="1"/>
    <col min="1815" max="1815" width="16.5703125" style="15" customWidth="1"/>
    <col min="1816" max="1816" width="11.28515625" style="15" customWidth="1"/>
    <col min="1817" max="1817" width="5.5703125" style="15" customWidth="1"/>
    <col min="1818" max="1818" width="13.7109375" style="15" customWidth="1"/>
    <col min="1819" max="1819" width="59" style="15" customWidth="1"/>
    <col min="1820" max="2058" width="9.140625" style="15"/>
    <col min="2059" max="2059" width="10.5703125" style="15" bestFit="1" customWidth="1"/>
    <col min="2060" max="2060" width="10.5703125" style="15" customWidth="1"/>
    <col min="2061" max="2067" width="24.28515625" style="15" customWidth="1"/>
    <col min="2068" max="2068" width="10.5703125" style="15" customWidth="1"/>
    <col min="2069" max="2069" width="27.5703125" style="15" bestFit="1" customWidth="1"/>
    <col min="2070" max="2070" width="30" style="15" customWidth="1"/>
    <col min="2071" max="2071" width="16.5703125" style="15" customWidth="1"/>
    <col min="2072" max="2072" width="11.28515625" style="15" customWidth="1"/>
    <col min="2073" max="2073" width="5.5703125" style="15" customWidth="1"/>
    <col min="2074" max="2074" width="13.7109375" style="15" customWidth="1"/>
    <col min="2075" max="2075" width="59" style="15" customWidth="1"/>
    <col min="2076" max="2314" width="9.140625" style="15"/>
    <col min="2315" max="2315" width="10.5703125" style="15" bestFit="1" customWidth="1"/>
    <col min="2316" max="2316" width="10.5703125" style="15" customWidth="1"/>
    <col min="2317" max="2323" width="24.28515625" style="15" customWidth="1"/>
    <col min="2324" max="2324" width="10.5703125" style="15" customWidth="1"/>
    <col min="2325" max="2325" width="27.5703125" style="15" bestFit="1" customWidth="1"/>
    <col min="2326" max="2326" width="30" style="15" customWidth="1"/>
    <col min="2327" max="2327" width="16.5703125" style="15" customWidth="1"/>
    <col min="2328" max="2328" width="11.28515625" style="15" customWidth="1"/>
    <col min="2329" max="2329" width="5.5703125" style="15" customWidth="1"/>
    <col min="2330" max="2330" width="13.7109375" style="15" customWidth="1"/>
    <col min="2331" max="2331" width="59" style="15" customWidth="1"/>
    <col min="2332" max="2570" width="9.140625" style="15"/>
    <col min="2571" max="2571" width="10.5703125" style="15" bestFit="1" customWidth="1"/>
    <col min="2572" max="2572" width="10.5703125" style="15" customWidth="1"/>
    <col min="2573" max="2579" width="24.28515625" style="15" customWidth="1"/>
    <col min="2580" max="2580" width="10.5703125" style="15" customWidth="1"/>
    <col min="2581" max="2581" width="27.5703125" style="15" bestFit="1" customWidth="1"/>
    <col min="2582" max="2582" width="30" style="15" customWidth="1"/>
    <col min="2583" max="2583" width="16.5703125" style="15" customWidth="1"/>
    <col min="2584" max="2584" width="11.28515625" style="15" customWidth="1"/>
    <col min="2585" max="2585" width="5.5703125" style="15" customWidth="1"/>
    <col min="2586" max="2586" width="13.7109375" style="15" customWidth="1"/>
    <col min="2587" max="2587" width="59" style="15" customWidth="1"/>
    <col min="2588" max="2826" width="9.140625" style="15"/>
    <col min="2827" max="2827" width="10.5703125" style="15" bestFit="1" customWidth="1"/>
    <col min="2828" max="2828" width="10.5703125" style="15" customWidth="1"/>
    <col min="2829" max="2835" width="24.28515625" style="15" customWidth="1"/>
    <col min="2836" max="2836" width="10.5703125" style="15" customWidth="1"/>
    <col min="2837" max="2837" width="27.5703125" style="15" bestFit="1" customWidth="1"/>
    <col min="2838" max="2838" width="30" style="15" customWidth="1"/>
    <col min="2839" max="2839" width="16.5703125" style="15" customWidth="1"/>
    <col min="2840" max="2840" width="11.28515625" style="15" customWidth="1"/>
    <col min="2841" max="2841" width="5.5703125" style="15" customWidth="1"/>
    <col min="2842" max="2842" width="13.7109375" style="15" customWidth="1"/>
    <col min="2843" max="2843" width="59" style="15" customWidth="1"/>
    <col min="2844" max="3082" width="9.140625" style="15"/>
    <col min="3083" max="3083" width="10.5703125" style="15" bestFit="1" customWidth="1"/>
    <col min="3084" max="3084" width="10.5703125" style="15" customWidth="1"/>
    <col min="3085" max="3091" width="24.28515625" style="15" customWidth="1"/>
    <col min="3092" max="3092" width="10.5703125" style="15" customWidth="1"/>
    <col min="3093" max="3093" width="27.5703125" style="15" bestFit="1" customWidth="1"/>
    <col min="3094" max="3094" width="30" style="15" customWidth="1"/>
    <col min="3095" max="3095" width="16.5703125" style="15" customWidth="1"/>
    <col min="3096" max="3096" width="11.28515625" style="15" customWidth="1"/>
    <col min="3097" max="3097" width="5.5703125" style="15" customWidth="1"/>
    <col min="3098" max="3098" width="13.7109375" style="15" customWidth="1"/>
    <col min="3099" max="3099" width="59" style="15" customWidth="1"/>
    <col min="3100" max="3338" width="9.140625" style="15"/>
    <col min="3339" max="3339" width="10.5703125" style="15" bestFit="1" customWidth="1"/>
    <col min="3340" max="3340" width="10.5703125" style="15" customWidth="1"/>
    <col min="3341" max="3347" width="24.28515625" style="15" customWidth="1"/>
    <col min="3348" max="3348" width="10.5703125" style="15" customWidth="1"/>
    <col min="3349" max="3349" width="27.5703125" style="15" bestFit="1" customWidth="1"/>
    <col min="3350" max="3350" width="30" style="15" customWidth="1"/>
    <col min="3351" max="3351" width="16.5703125" style="15" customWidth="1"/>
    <col min="3352" max="3352" width="11.28515625" style="15" customWidth="1"/>
    <col min="3353" max="3353" width="5.5703125" style="15" customWidth="1"/>
    <col min="3354" max="3354" width="13.7109375" style="15" customWidth="1"/>
    <col min="3355" max="3355" width="59" style="15" customWidth="1"/>
    <col min="3356" max="3594" width="9.140625" style="15"/>
    <col min="3595" max="3595" width="10.5703125" style="15" bestFit="1" customWidth="1"/>
    <col min="3596" max="3596" width="10.5703125" style="15" customWidth="1"/>
    <col min="3597" max="3603" width="24.28515625" style="15" customWidth="1"/>
    <col min="3604" max="3604" width="10.5703125" style="15" customWidth="1"/>
    <col min="3605" max="3605" width="27.5703125" style="15" bestFit="1" customWidth="1"/>
    <col min="3606" max="3606" width="30" style="15" customWidth="1"/>
    <col min="3607" max="3607" width="16.5703125" style="15" customWidth="1"/>
    <col min="3608" max="3608" width="11.28515625" style="15" customWidth="1"/>
    <col min="3609" max="3609" width="5.5703125" style="15" customWidth="1"/>
    <col min="3610" max="3610" width="13.7109375" style="15" customWidth="1"/>
    <col min="3611" max="3611" width="59" style="15" customWidth="1"/>
    <col min="3612" max="3850" width="9.140625" style="15"/>
    <col min="3851" max="3851" width="10.5703125" style="15" bestFit="1" customWidth="1"/>
    <col min="3852" max="3852" width="10.5703125" style="15" customWidth="1"/>
    <col min="3853" max="3859" width="24.28515625" style="15" customWidth="1"/>
    <col min="3860" max="3860" width="10.5703125" style="15" customWidth="1"/>
    <col min="3861" max="3861" width="27.5703125" style="15" bestFit="1" customWidth="1"/>
    <col min="3862" max="3862" width="30" style="15" customWidth="1"/>
    <col min="3863" max="3863" width="16.5703125" style="15" customWidth="1"/>
    <col min="3864" max="3864" width="11.28515625" style="15" customWidth="1"/>
    <col min="3865" max="3865" width="5.5703125" style="15" customWidth="1"/>
    <col min="3866" max="3866" width="13.7109375" style="15" customWidth="1"/>
    <col min="3867" max="3867" width="59" style="15" customWidth="1"/>
    <col min="3868" max="4106" width="9.140625" style="15"/>
    <col min="4107" max="4107" width="10.5703125" style="15" bestFit="1" customWidth="1"/>
    <col min="4108" max="4108" width="10.5703125" style="15" customWidth="1"/>
    <col min="4109" max="4115" width="24.28515625" style="15" customWidth="1"/>
    <col min="4116" max="4116" width="10.5703125" style="15" customWidth="1"/>
    <col min="4117" max="4117" width="27.5703125" style="15" bestFit="1" customWidth="1"/>
    <col min="4118" max="4118" width="30" style="15" customWidth="1"/>
    <col min="4119" max="4119" width="16.5703125" style="15" customWidth="1"/>
    <col min="4120" max="4120" width="11.28515625" style="15" customWidth="1"/>
    <col min="4121" max="4121" width="5.5703125" style="15" customWidth="1"/>
    <col min="4122" max="4122" width="13.7109375" style="15" customWidth="1"/>
    <col min="4123" max="4123" width="59" style="15" customWidth="1"/>
    <col min="4124" max="4362" width="9.140625" style="15"/>
    <col min="4363" max="4363" width="10.5703125" style="15" bestFit="1" customWidth="1"/>
    <col min="4364" max="4364" width="10.5703125" style="15" customWidth="1"/>
    <col min="4365" max="4371" width="24.28515625" style="15" customWidth="1"/>
    <col min="4372" max="4372" width="10.5703125" style="15" customWidth="1"/>
    <col min="4373" max="4373" width="27.5703125" style="15" bestFit="1" customWidth="1"/>
    <col min="4374" max="4374" width="30" style="15" customWidth="1"/>
    <col min="4375" max="4375" width="16.5703125" style="15" customWidth="1"/>
    <col min="4376" max="4376" width="11.28515625" style="15" customWidth="1"/>
    <col min="4377" max="4377" width="5.5703125" style="15" customWidth="1"/>
    <col min="4378" max="4378" width="13.7109375" style="15" customWidth="1"/>
    <col min="4379" max="4379" width="59" style="15" customWidth="1"/>
    <col min="4380" max="4618" width="9.140625" style="15"/>
    <col min="4619" max="4619" width="10.5703125" style="15" bestFit="1" customWidth="1"/>
    <col min="4620" max="4620" width="10.5703125" style="15" customWidth="1"/>
    <col min="4621" max="4627" width="24.28515625" style="15" customWidth="1"/>
    <col min="4628" max="4628" width="10.5703125" style="15" customWidth="1"/>
    <col min="4629" max="4629" width="27.5703125" style="15" bestFit="1" customWidth="1"/>
    <col min="4630" max="4630" width="30" style="15" customWidth="1"/>
    <col min="4631" max="4631" width="16.5703125" style="15" customWidth="1"/>
    <col min="4632" max="4632" width="11.28515625" style="15" customWidth="1"/>
    <col min="4633" max="4633" width="5.5703125" style="15" customWidth="1"/>
    <col min="4634" max="4634" width="13.7109375" style="15" customWidth="1"/>
    <col min="4635" max="4635" width="59" style="15" customWidth="1"/>
    <col min="4636" max="4874" width="9.140625" style="15"/>
    <col min="4875" max="4875" width="10.5703125" style="15" bestFit="1" customWidth="1"/>
    <col min="4876" max="4876" width="10.5703125" style="15" customWidth="1"/>
    <col min="4877" max="4883" width="24.28515625" style="15" customWidth="1"/>
    <col min="4884" max="4884" width="10.5703125" style="15" customWidth="1"/>
    <col min="4885" max="4885" width="27.5703125" style="15" bestFit="1" customWidth="1"/>
    <col min="4886" max="4886" width="30" style="15" customWidth="1"/>
    <col min="4887" max="4887" width="16.5703125" style="15" customWidth="1"/>
    <col min="4888" max="4888" width="11.28515625" style="15" customWidth="1"/>
    <col min="4889" max="4889" width="5.5703125" style="15" customWidth="1"/>
    <col min="4890" max="4890" width="13.7109375" style="15" customWidth="1"/>
    <col min="4891" max="4891" width="59" style="15" customWidth="1"/>
    <col min="4892" max="5130" width="9.140625" style="15"/>
    <col min="5131" max="5131" width="10.5703125" style="15" bestFit="1" customWidth="1"/>
    <col min="5132" max="5132" width="10.5703125" style="15" customWidth="1"/>
    <col min="5133" max="5139" width="24.28515625" style="15" customWidth="1"/>
    <col min="5140" max="5140" width="10.5703125" style="15" customWidth="1"/>
    <col min="5141" max="5141" width="27.5703125" style="15" bestFit="1" customWidth="1"/>
    <col min="5142" max="5142" width="30" style="15" customWidth="1"/>
    <col min="5143" max="5143" width="16.5703125" style="15" customWidth="1"/>
    <col min="5144" max="5144" width="11.28515625" style="15" customWidth="1"/>
    <col min="5145" max="5145" width="5.5703125" style="15" customWidth="1"/>
    <col min="5146" max="5146" width="13.7109375" style="15" customWidth="1"/>
    <col min="5147" max="5147" width="59" style="15" customWidth="1"/>
    <col min="5148" max="5386" width="9.140625" style="15"/>
    <col min="5387" max="5387" width="10.5703125" style="15" bestFit="1" customWidth="1"/>
    <col min="5388" max="5388" width="10.5703125" style="15" customWidth="1"/>
    <col min="5389" max="5395" width="24.28515625" style="15" customWidth="1"/>
    <col min="5396" max="5396" width="10.5703125" style="15" customWidth="1"/>
    <col min="5397" max="5397" width="27.5703125" style="15" bestFit="1" customWidth="1"/>
    <col min="5398" max="5398" width="30" style="15" customWidth="1"/>
    <col min="5399" max="5399" width="16.5703125" style="15" customWidth="1"/>
    <col min="5400" max="5400" width="11.28515625" style="15" customWidth="1"/>
    <col min="5401" max="5401" width="5.5703125" style="15" customWidth="1"/>
    <col min="5402" max="5402" width="13.7109375" style="15" customWidth="1"/>
    <col min="5403" max="5403" width="59" style="15" customWidth="1"/>
    <col min="5404" max="5642" width="9.140625" style="15"/>
    <col min="5643" max="5643" width="10.5703125" style="15" bestFit="1" customWidth="1"/>
    <col min="5644" max="5644" width="10.5703125" style="15" customWidth="1"/>
    <col min="5645" max="5651" width="24.28515625" style="15" customWidth="1"/>
    <col min="5652" max="5652" width="10.5703125" style="15" customWidth="1"/>
    <col min="5653" max="5653" width="27.5703125" style="15" bestFit="1" customWidth="1"/>
    <col min="5654" max="5654" width="30" style="15" customWidth="1"/>
    <col min="5655" max="5655" width="16.5703125" style="15" customWidth="1"/>
    <col min="5656" max="5656" width="11.28515625" style="15" customWidth="1"/>
    <col min="5657" max="5657" width="5.5703125" style="15" customWidth="1"/>
    <col min="5658" max="5658" width="13.7109375" style="15" customWidth="1"/>
    <col min="5659" max="5659" width="59" style="15" customWidth="1"/>
    <col min="5660" max="5898" width="9.140625" style="15"/>
    <col min="5899" max="5899" width="10.5703125" style="15" bestFit="1" customWidth="1"/>
    <col min="5900" max="5900" width="10.5703125" style="15" customWidth="1"/>
    <col min="5901" max="5907" width="24.28515625" style="15" customWidth="1"/>
    <col min="5908" max="5908" width="10.5703125" style="15" customWidth="1"/>
    <col min="5909" max="5909" width="27.5703125" style="15" bestFit="1" customWidth="1"/>
    <col min="5910" max="5910" width="30" style="15" customWidth="1"/>
    <col min="5911" max="5911" width="16.5703125" style="15" customWidth="1"/>
    <col min="5912" max="5912" width="11.28515625" style="15" customWidth="1"/>
    <col min="5913" max="5913" width="5.5703125" style="15" customWidth="1"/>
    <col min="5914" max="5914" width="13.7109375" style="15" customWidth="1"/>
    <col min="5915" max="5915" width="59" style="15" customWidth="1"/>
    <col min="5916" max="6154" width="9.140625" style="15"/>
    <col min="6155" max="6155" width="10.5703125" style="15" bestFit="1" customWidth="1"/>
    <col min="6156" max="6156" width="10.5703125" style="15" customWidth="1"/>
    <col min="6157" max="6163" width="24.28515625" style="15" customWidth="1"/>
    <col min="6164" max="6164" width="10.5703125" style="15" customWidth="1"/>
    <col min="6165" max="6165" width="27.5703125" style="15" bestFit="1" customWidth="1"/>
    <col min="6166" max="6166" width="30" style="15" customWidth="1"/>
    <col min="6167" max="6167" width="16.5703125" style="15" customWidth="1"/>
    <col min="6168" max="6168" width="11.28515625" style="15" customWidth="1"/>
    <col min="6169" max="6169" width="5.5703125" style="15" customWidth="1"/>
    <col min="6170" max="6170" width="13.7109375" style="15" customWidth="1"/>
    <col min="6171" max="6171" width="59" style="15" customWidth="1"/>
    <col min="6172" max="6410" width="9.140625" style="15"/>
    <col min="6411" max="6411" width="10.5703125" style="15" bestFit="1" customWidth="1"/>
    <col min="6412" max="6412" width="10.5703125" style="15" customWidth="1"/>
    <col min="6413" max="6419" width="24.28515625" style="15" customWidth="1"/>
    <col min="6420" max="6420" width="10.5703125" style="15" customWidth="1"/>
    <col min="6421" max="6421" width="27.5703125" style="15" bestFit="1" customWidth="1"/>
    <col min="6422" max="6422" width="30" style="15" customWidth="1"/>
    <col min="6423" max="6423" width="16.5703125" style="15" customWidth="1"/>
    <col min="6424" max="6424" width="11.28515625" style="15" customWidth="1"/>
    <col min="6425" max="6425" width="5.5703125" style="15" customWidth="1"/>
    <col min="6426" max="6426" width="13.7109375" style="15" customWidth="1"/>
    <col min="6427" max="6427" width="59" style="15" customWidth="1"/>
    <col min="6428" max="6666" width="9.140625" style="15"/>
    <col min="6667" max="6667" width="10.5703125" style="15" bestFit="1" customWidth="1"/>
    <col min="6668" max="6668" width="10.5703125" style="15" customWidth="1"/>
    <col min="6669" max="6675" width="24.28515625" style="15" customWidth="1"/>
    <col min="6676" max="6676" width="10.5703125" style="15" customWidth="1"/>
    <col min="6677" max="6677" width="27.5703125" style="15" bestFit="1" customWidth="1"/>
    <col min="6678" max="6678" width="30" style="15" customWidth="1"/>
    <col min="6679" max="6679" width="16.5703125" style="15" customWidth="1"/>
    <col min="6680" max="6680" width="11.28515625" style="15" customWidth="1"/>
    <col min="6681" max="6681" width="5.5703125" style="15" customWidth="1"/>
    <col min="6682" max="6682" width="13.7109375" style="15" customWidth="1"/>
    <col min="6683" max="6683" width="59" style="15" customWidth="1"/>
    <col min="6684" max="6922" width="9.140625" style="15"/>
    <col min="6923" max="6923" width="10.5703125" style="15" bestFit="1" customWidth="1"/>
    <col min="6924" max="6924" width="10.5703125" style="15" customWidth="1"/>
    <col min="6925" max="6931" width="24.28515625" style="15" customWidth="1"/>
    <col min="6932" max="6932" width="10.5703125" style="15" customWidth="1"/>
    <col min="6933" max="6933" width="27.5703125" style="15" bestFit="1" customWidth="1"/>
    <col min="6934" max="6934" width="30" style="15" customWidth="1"/>
    <col min="6935" max="6935" width="16.5703125" style="15" customWidth="1"/>
    <col min="6936" max="6936" width="11.28515625" style="15" customWidth="1"/>
    <col min="6937" max="6937" width="5.5703125" style="15" customWidth="1"/>
    <col min="6938" max="6938" width="13.7109375" style="15" customWidth="1"/>
    <col min="6939" max="6939" width="59" style="15" customWidth="1"/>
    <col min="6940" max="7178" width="9.140625" style="15"/>
    <col min="7179" max="7179" width="10.5703125" style="15" bestFit="1" customWidth="1"/>
    <col min="7180" max="7180" width="10.5703125" style="15" customWidth="1"/>
    <col min="7181" max="7187" width="24.28515625" style="15" customWidth="1"/>
    <col min="7188" max="7188" width="10.5703125" style="15" customWidth="1"/>
    <col min="7189" max="7189" width="27.5703125" style="15" bestFit="1" customWidth="1"/>
    <col min="7190" max="7190" width="30" style="15" customWidth="1"/>
    <col min="7191" max="7191" width="16.5703125" style="15" customWidth="1"/>
    <col min="7192" max="7192" width="11.28515625" style="15" customWidth="1"/>
    <col min="7193" max="7193" width="5.5703125" style="15" customWidth="1"/>
    <col min="7194" max="7194" width="13.7109375" style="15" customWidth="1"/>
    <col min="7195" max="7195" width="59" style="15" customWidth="1"/>
    <col min="7196" max="7434" width="9.140625" style="15"/>
    <col min="7435" max="7435" width="10.5703125" style="15" bestFit="1" customWidth="1"/>
    <col min="7436" max="7436" width="10.5703125" style="15" customWidth="1"/>
    <col min="7437" max="7443" width="24.28515625" style="15" customWidth="1"/>
    <col min="7444" max="7444" width="10.5703125" style="15" customWidth="1"/>
    <col min="7445" max="7445" width="27.5703125" style="15" bestFit="1" customWidth="1"/>
    <col min="7446" max="7446" width="30" style="15" customWidth="1"/>
    <col min="7447" max="7447" width="16.5703125" style="15" customWidth="1"/>
    <col min="7448" max="7448" width="11.28515625" style="15" customWidth="1"/>
    <col min="7449" max="7449" width="5.5703125" style="15" customWidth="1"/>
    <col min="7450" max="7450" width="13.7109375" style="15" customWidth="1"/>
    <col min="7451" max="7451" width="59" style="15" customWidth="1"/>
    <col min="7452" max="7690" width="9.140625" style="15"/>
    <col min="7691" max="7691" width="10.5703125" style="15" bestFit="1" customWidth="1"/>
    <col min="7692" max="7692" width="10.5703125" style="15" customWidth="1"/>
    <col min="7693" max="7699" width="24.28515625" style="15" customWidth="1"/>
    <col min="7700" max="7700" width="10.5703125" style="15" customWidth="1"/>
    <col min="7701" max="7701" width="27.5703125" style="15" bestFit="1" customWidth="1"/>
    <col min="7702" max="7702" width="30" style="15" customWidth="1"/>
    <col min="7703" max="7703" width="16.5703125" style="15" customWidth="1"/>
    <col min="7704" max="7704" width="11.28515625" style="15" customWidth="1"/>
    <col min="7705" max="7705" width="5.5703125" style="15" customWidth="1"/>
    <col min="7706" max="7706" width="13.7109375" style="15" customWidth="1"/>
    <col min="7707" max="7707" width="59" style="15" customWidth="1"/>
    <col min="7708" max="7946" width="9.140625" style="15"/>
    <col min="7947" max="7947" width="10.5703125" style="15" bestFit="1" customWidth="1"/>
    <col min="7948" max="7948" width="10.5703125" style="15" customWidth="1"/>
    <col min="7949" max="7955" width="24.28515625" style="15" customWidth="1"/>
    <col min="7956" max="7956" width="10.5703125" style="15" customWidth="1"/>
    <col min="7957" max="7957" width="27.5703125" style="15" bestFit="1" customWidth="1"/>
    <col min="7958" max="7958" width="30" style="15" customWidth="1"/>
    <col min="7959" max="7959" width="16.5703125" style="15" customWidth="1"/>
    <col min="7960" max="7960" width="11.28515625" style="15" customWidth="1"/>
    <col min="7961" max="7961" width="5.5703125" style="15" customWidth="1"/>
    <col min="7962" max="7962" width="13.7109375" style="15" customWidth="1"/>
    <col min="7963" max="7963" width="59" style="15" customWidth="1"/>
    <col min="7964" max="8202" width="9.140625" style="15"/>
    <col min="8203" max="8203" width="10.5703125" style="15" bestFit="1" customWidth="1"/>
    <col min="8204" max="8204" width="10.5703125" style="15" customWidth="1"/>
    <col min="8205" max="8211" width="24.28515625" style="15" customWidth="1"/>
    <col min="8212" max="8212" width="10.5703125" style="15" customWidth="1"/>
    <col min="8213" max="8213" width="27.5703125" style="15" bestFit="1" customWidth="1"/>
    <col min="8214" max="8214" width="30" style="15" customWidth="1"/>
    <col min="8215" max="8215" width="16.5703125" style="15" customWidth="1"/>
    <col min="8216" max="8216" width="11.28515625" style="15" customWidth="1"/>
    <col min="8217" max="8217" width="5.5703125" style="15" customWidth="1"/>
    <col min="8218" max="8218" width="13.7109375" style="15" customWidth="1"/>
    <col min="8219" max="8219" width="59" style="15" customWidth="1"/>
    <col min="8220" max="8458" width="9.140625" style="15"/>
    <col min="8459" max="8459" width="10.5703125" style="15" bestFit="1" customWidth="1"/>
    <col min="8460" max="8460" width="10.5703125" style="15" customWidth="1"/>
    <col min="8461" max="8467" width="24.28515625" style="15" customWidth="1"/>
    <col min="8468" max="8468" width="10.5703125" style="15" customWidth="1"/>
    <col min="8469" max="8469" width="27.5703125" style="15" bestFit="1" customWidth="1"/>
    <col min="8470" max="8470" width="30" style="15" customWidth="1"/>
    <col min="8471" max="8471" width="16.5703125" style="15" customWidth="1"/>
    <col min="8472" max="8472" width="11.28515625" style="15" customWidth="1"/>
    <col min="8473" max="8473" width="5.5703125" style="15" customWidth="1"/>
    <col min="8474" max="8474" width="13.7109375" style="15" customWidth="1"/>
    <col min="8475" max="8475" width="59" style="15" customWidth="1"/>
    <col min="8476" max="8714" width="9.140625" style="15"/>
    <col min="8715" max="8715" width="10.5703125" style="15" bestFit="1" customWidth="1"/>
    <col min="8716" max="8716" width="10.5703125" style="15" customWidth="1"/>
    <col min="8717" max="8723" width="24.28515625" style="15" customWidth="1"/>
    <col min="8724" max="8724" width="10.5703125" style="15" customWidth="1"/>
    <col min="8725" max="8725" width="27.5703125" style="15" bestFit="1" customWidth="1"/>
    <col min="8726" max="8726" width="30" style="15" customWidth="1"/>
    <col min="8727" max="8727" width="16.5703125" style="15" customWidth="1"/>
    <col min="8728" max="8728" width="11.28515625" style="15" customWidth="1"/>
    <col min="8729" max="8729" width="5.5703125" style="15" customWidth="1"/>
    <col min="8730" max="8730" width="13.7109375" style="15" customWidth="1"/>
    <col min="8731" max="8731" width="59" style="15" customWidth="1"/>
    <col min="8732" max="8970" width="9.140625" style="15"/>
    <col min="8971" max="8971" width="10.5703125" style="15" bestFit="1" customWidth="1"/>
    <col min="8972" max="8972" width="10.5703125" style="15" customWidth="1"/>
    <col min="8973" max="8979" width="24.28515625" style="15" customWidth="1"/>
    <col min="8980" max="8980" width="10.5703125" style="15" customWidth="1"/>
    <col min="8981" max="8981" width="27.5703125" style="15" bestFit="1" customWidth="1"/>
    <col min="8982" max="8982" width="30" style="15" customWidth="1"/>
    <col min="8983" max="8983" width="16.5703125" style="15" customWidth="1"/>
    <col min="8984" max="8984" width="11.28515625" style="15" customWidth="1"/>
    <col min="8985" max="8985" width="5.5703125" style="15" customWidth="1"/>
    <col min="8986" max="8986" width="13.7109375" style="15" customWidth="1"/>
    <col min="8987" max="8987" width="59" style="15" customWidth="1"/>
    <col min="8988" max="9226" width="9.140625" style="15"/>
    <col min="9227" max="9227" width="10.5703125" style="15" bestFit="1" customWidth="1"/>
    <col min="9228" max="9228" width="10.5703125" style="15" customWidth="1"/>
    <col min="9229" max="9235" width="24.28515625" style="15" customWidth="1"/>
    <col min="9236" max="9236" width="10.5703125" style="15" customWidth="1"/>
    <col min="9237" max="9237" width="27.5703125" style="15" bestFit="1" customWidth="1"/>
    <col min="9238" max="9238" width="30" style="15" customWidth="1"/>
    <col min="9239" max="9239" width="16.5703125" style="15" customWidth="1"/>
    <col min="9240" max="9240" width="11.28515625" style="15" customWidth="1"/>
    <col min="9241" max="9241" width="5.5703125" style="15" customWidth="1"/>
    <col min="9242" max="9242" width="13.7109375" style="15" customWidth="1"/>
    <col min="9243" max="9243" width="59" style="15" customWidth="1"/>
    <col min="9244" max="9482" width="9.140625" style="15"/>
    <col min="9483" max="9483" width="10.5703125" style="15" bestFit="1" customWidth="1"/>
    <col min="9484" max="9484" width="10.5703125" style="15" customWidth="1"/>
    <col min="9485" max="9491" width="24.28515625" style="15" customWidth="1"/>
    <col min="9492" max="9492" width="10.5703125" style="15" customWidth="1"/>
    <col min="9493" max="9493" width="27.5703125" style="15" bestFit="1" customWidth="1"/>
    <col min="9494" max="9494" width="30" style="15" customWidth="1"/>
    <col min="9495" max="9495" width="16.5703125" style="15" customWidth="1"/>
    <col min="9496" max="9496" width="11.28515625" style="15" customWidth="1"/>
    <col min="9497" max="9497" width="5.5703125" style="15" customWidth="1"/>
    <col min="9498" max="9498" width="13.7109375" style="15" customWidth="1"/>
    <col min="9499" max="9499" width="59" style="15" customWidth="1"/>
    <col min="9500" max="9738" width="9.140625" style="15"/>
    <col min="9739" max="9739" width="10.5703125" style="15" bestFit="1" customWidth="1"/>
    <col min="9740" max="9740" width="10.5703125" style="15" customWidth="1"/>
    <col min="9741" max="9747" width="24.28515625" style="15" customWidth="1"/>
    <col min="9748" max="9748" width="10.5703125" style="15" customWidth="1"/>
    <col min="9749" max="9749" width="27.5703125" style="15" bestFit="1" customWidth="1"/>
    <col min="9750" max="9750" width="30" style="15" customWidth="1"/>
    <col min="9751" max="9751" width="16.5703125" style="15" customWidth="1"/>
    <col min="9752" max="9752" width="11.28515625" style="15" customWidth="1"/>
    <col min="9753" max="9753" width="5.5703125" style="15" customWidth="1"/>
    <col min="9754" max="9754" width="13.7109375" style="15" customWidth="1"/>
    <col min="9755" max="9755" width="59" style="15" customWidth="1"/>
    <col min="9756" max="9994" width="9.140625" style="15"/>
    <col min="9995" max="9995" width="10.5703125" style="15" bestFit="1" customWidth="1"/>
    <col min="9996" max="9996" width="10.5703125" style="15" customWidth="1"/>
    <col min="9997" max="10003" width="24.28515625" style="15" customWidth="1"/>
    <col min="10004" max="10004" width="10.5703125" style="15" customWidth="1"/>
    <col min="10005" max="10005" width="27.5703125" style="15" bestFit="1" customWidth="1"/>
    <col min="10006" max="10006" width="30" style="15" customWidth="1"/>
    <col min="10007" max="10007" width="16.5703125" style="15" customWidth="1"/>
    <col min="10008" max="10008" width="11.28515625" style="15" customWidth="1"/>
    <col min="10009" max="10009" width="5.5703125" style="15" customWidth="1"/>
    <col min="10010" max="10010" width="13.7109375" style="15" customWidth="1"/>
    <col min="10011" max="10011" width="59" style="15" customWidth="1"/>
    <col min="10012" max="10250" width="9.140625" style="15"/>
    <col min="10251" max="10251" width="10.5703125" style="15" bestFit="1" customWidth="1"/>
    <col min="10252" max="10252" width="10.5703125" style="15" customWidth="1"/>
    <col min="10253" max="10259" width="24.28515625" style="15" customWidth="1"/>
    <col min="10260" max="10260" width="10.5703125" style="15" customWidth="1"/>
    <col min="10261" max="10261" width="27.5703125" style="15" bestFit="1" customWidth="1"/>
    <col min="10262" max="10262" width="30" style="15" customWidth="1"/>
    <col min="10263" max="10263" width="16.5703125" style="15" customWidth="1"/>
    <col min="10264" max="10264" width="11.28515625" style="15" customWidth="1"/>
    <col min="10265" max="10265" width="5.5703125" style="15" customWidth="1"/>
    <col min="10266" max="10266" width="13.7109375" style="15" customWidth="1"/>
    <col min="10267" max="10267" width="59" style="15" customWidth="1"/>
    <col min="10268" max="10506" width="9.140625" style="15"/>
    <col min="10507" max="10507" width="10.5703125" style="15" bestFit="1" customWidth="1"/>
    <col min="10508" max="10508" width="10.5703125" style="15" customWidth="1"/>
    <col min="10509" max="10515" width="24.28515625" style="15" customWidth="1"/>
    <col min="10516" max="10516" width="10.5703125" style="15" customWidth="1"/>
    <col min="10517" max="10517" width="27.5703125" style="15" bestFit="1" customWidth="1"/>
    <col min="10518" max="10518" width="30" style="15" customWidth="1"/>
    <col min="10519" max="10519" width="16.5703125" style="15" customWidth="1"/>
    <col min="10520" max="10520" width="11.28515625" style="15" customWidth="1"/>
    <col min="10521" max="10521" width="5.5703125" style="15" customWidth="1"/>
    <col min="10522" max="10522" width="13.7109375" style="15" customWidth="1"/>
    <col min="10523" max="10523" width="59" style="15" customWidth="1"/>
    <col min="10524" max="10762" width="9.140625" style="15"/>
    <col min="10763" max="10763" width="10.5703125" style="15" bestFit="1" customWidth="1"/>
    <col min="10764" max="10764" width="10.5703125" style="15" customWidth="1"/>
    <col min="10765" max="10771" width="24.28515625" style="15" customWidth="1"/>
    <col min="10772" max="10772" width="10.5703125" style="15" customWidth="1"/>
    <col min="10773" max="10773" width="27.5703125" style="15" bestFit="1" customWidth="1"/>
    <col min="10774" max="10774" width="30" style="15" customWidth="1"/>
    <col min="10775" max="10775" width="16.5703125" style="15" customWidth="1"/>
    <col min="10776" max="10776" width="11.28515625" style="15" customWidth="1"/>
    <col min="10777" max="10777" width="5.5703125" style="15" customWidth="1"/>
    <col min="10778" max="10778" width="13.7109375" style="15" customWidth="1"/>
    <col min="10779" max="10779" width="59" style="15" customWidth="1"/>
    <col min="10780" max="11018" width="9.140625" style="15"/>
    <col min="11019" max="11019" width="10.5703125" style="15" bestFit="1" customWidth="1"/>
    <col min="11020" max="11020" width="10.5703125" style="15" customWidth="1"/>
    <col min="11021" max="11027" width="24.28515625" style="15" customWidth="1"/>
    <col min="11028" max="11028" width="10.5703125" style="15" customWidth="1"/>
    <col min="11029" max="11029" width="27.5703125" style="15" bestFit="1" customWidth="1"/>
    <col min="11030" max="11030" width="30" style="15" customWidth="1"/>
    <col min="11031" max="11031" width="16.5703125" style="15" customWidth="1"/>
    <col min="11032" max="11032" width="11.28515625" style="15" customWidth="1"/>
    <col min="11033" max="11033" width="5.5703125" style="15" customWidth="1"/>
    <col min="11034" max="11034" width="13.7109375" style="15" customWidth="1"/>
    <col min="11035" max="11035" width="59" style="15" customWidth="1"/>
    <col min="11036" max="11274" width="9.140625" style="15"/>
    <col min="11275" max="11275" width="10.5703125" style="15" bestFit="1" customWidth="1"/>
    <col min="11276" max="11276" width="10.5703125" style="15" customWidth="1"/>
    <col min="11277" max="11283" width="24.28515625" style="15" customWidth="1"/>
    <col min="11284" max="11284" width="10.5703125" style="15" customWidth="1"/>
    <col min="11285" max="11285" width="27.5703125" style="15" bestFit="1" customWidth="1"/>
    <col min="11286" max="11286" width="30" style="15" customWidth="1"/>
    <col min="11287" max="11287" width="16.5703125" style="15" customWidth="1"/>
    <col min="11288" max="11288" width="11.28515625" style="15" customWidth="1"/>
    <col min="11289" max="11289" width="5.5703125" style="15" customWidth="1"/>
    <col min="11290" max="11290" width="13.7109375" style="15" customWidth="1"/>
    <col min="11291" max="11291" width="59" style="15" customWidth="1"/>
    <col min="11292" max="11530" width="9.140625" style="15"/>
    <col min="11531" max="11531" width="10.5703125" style="15" bestFit="1" customWidth="1"/>
    <col min="11532" max="11532" width="10.5703125" style="15" customWidth="1"/>
    <col min="11533" max="11539" width="24.28515625" style="15" customWidth="1"/>
    <col min="11540" max="11540" width="10.5703125" style="15" customWidth="1"/>
    <col min="11541" max="11541" width="27.5703125" style="15" bestFit="1" customWidth="1"/>
    <col min="11542" max="11542" width="30" style="15" customWidth="1"/>
    <col min="11543" max="11543" width="16.5703125" style="15" customWidth="1"/>
    <col min="11544" max="11544" width="11.28515625" style="15" customWidth="1"/>
    <col min="11545" max="11545" width="5.5703125" style="15" customWidth="1"/>
    <col min="11546" max="11546" width="13.7109375" style="15" customWidth="1"/>
    <col min="11547" max="11547" width="59" style="15" customWidth="1"/>
    <col min="11548" max="11786" width="9.140625" style="15"/>
    <col min="11787" max="11787" width="10.5703125" style="15" bestFit="1" customWidth="1"/>
    <col min="11788" max="11788" width="10.5703125" style="15" customWidth="1"/>
    <col min="11789" max="11795" width="24.28515625" style="15" customWidth="1"/>
    <col min="11796" max="11796" width="10.5703125" style="15" customWidth="1"/>
    <col min="11797" max="11797" width="27.5703125" style="15" bestFit="1" customWidth="1"/>
    <col min="11798" max="11798" width="30" style="15" customWidth="1"/>
    <col min="11799" max="11799" width="16.5703125" style="15" customWidth="1"/>
    <col min="11800" max="11800" width="11.28515625" style="15" customWidth="1"/>
    <col min="11801" max="11801" width="5.5703125" style="15" customWidth="1"/>
    <col min="11802" max="11802" width="13.7109375" style="15" customWidth="1"/>
    <col min="11803" max="11803" width="59" style="15" customWidth="1"/>
    <col min="11804" max="12042" width="9.140625" style="15"/>
    <col min="12043" max="12043" width="10.5703125" style="15" bestFit="1" customWidth="1"/>
    <col min="12044" max="12044" width="10.5703125" style="15" customWidth="1"/>
    <col min="12045" max="12051" width="24.28515625" style="15" customWidth="1"/>
    <col min="12052" max="12052" width="10.5703125" style="15" customWidth="1"/>
    <col min="12053" max="12053" width="27.5703125" style="15" bestFit="1" customWidth="1"/>
    <col min="12054" max="12054" width="30" style="15" customWidth="1"/>
    <col min="12055" max="12055" width="16.5703125" style="15" customWidth="1"/>
    <col min="12056" max="12056" width="11.28515625" style="15" customWidth="1"/>
    <col min="12057" max="12057" width="5.5703125" style="15" customWidth="1"/>
    <col min="12058" max="12058" width="13.7109375" style="15" customWidth="1"/>
    <col min="12059" max="12059" width="59" style="15" customWidth="1"/>
    <col min="12060" max="12298" width="9.140625" style="15"/>
    <col min="12299" max="12299" width="10.5703125" style="15" bestFit="1" customWidth="1"/>
    <col min="12300" max="12300" width="10.5703125" style="15" customWidth="1"/>
    <col min="12301" max="12307" width="24.28515625" style="15" customWidth="1"/>
    <col min="12308" max="12308" width="10.5703125" style="15" customWidth="1"/>
    <col min="12309" max="12309" width="27.5703125" style="15" bestFit="1" customWidth="1"/>
    <col min="12310" max="12310" width="30" style="15" customWidth="1"/>
    <col min="12311" max="12311" width="16.5703125" style="15" customWidth="1"/>
    <col min="12312" max="12312" width="11.28515625" style="15" customWidth="1"/>
    <col min="12313" max="12313" width="5.5703125" style="15" customWidth="1"/>
    <col min="12314" max="12314" width="13.7109375" style="15" customWidth="1"/>
    <col min="12315" max="12315" width="59" style="15" customWidth="1"/>
    <col min="12316" max="12554" width="9.140625" style="15"/>
    <col min="12555" max="12555" width="10.5703125" style="15" bestFit="1" customWidth="1"/>
    <col min="12556" max="12556" width="10.5703125" style="15" customWidth="1"/>
    <col min="12557" max="12563" width="24.28515625" style="15" customWidth="1"/>
    <col min="12564" max="12564" width="10.5703125" style="15" customWidth="1"/>
    <col min="12565" max="12565" width="27.5703125" style="15" bestFit="1" customWidth="1"/>
    <col min="12566" max="12566" width="30" style="15" customWidth="1"/>
    <col min="12567" max="12567" width="16.5703125" style="15" customWidth="1"/>
    <col min="12568" max="12568" width="11.28515625" style="15" customWidth="1"/>
    <col min="12569" max="12569" width="5.5703125" style="15" customWidth="1"/>
    <col min="12570" max="12570" width="13.7109375" style="15" customWidth="1"/>
    <col min="12571" max="12571" width="59" style="15" customWidth="1"/>
    <col min="12572" max="12810" width="9.140625" style="15"/>
    <col min="12811" max="12811" width="10.5703125" style="15" bestFit="1" customWidth="1"/>
    <col min="12812" max="12812" width="10.5703125" style="15" customWidth="1"/>
    <col min="12813" max="12819" width="24.28515625" style="15" customWidth="1"/>
    <col min="12820" max="12820" width="10.5703125" style="15" customWidth="1"/>
    <col min="12821" max="12821" width="27.5703125" style="15" bestFit="1" customWidth="1"/>
    <col min="12822" max="12822" width="30" style="15" customWidth="1"/>
    <col min="12823" max="12823" width="16.5703125" style="15" customWidth="1"/>
    <col min="12824" max="12824" width="11.28515625" style="15" customWidth="1"/>
    <col min="12825" max="12825" width="5.5703125" style="15" customWidth="1"/>
    <col min="12826" max="12826" width="13.7109375" style="15" customWidth="1"/>
    <col min="12827" max="12827" width="59" style="15" customWidth="1"/>
    <col min="12828" max="13066" width="9.140625" style="15"/>
    <col min="13067" max="13067" width="10.5703125" style="15" bestFit="1" customWidth="1"/>
    <col min="13068" max="13068" width="10.5703125" style="15" customWidth="1"/>
    <col min="13069" max="13075" width="24.28515625" style="15" customWidth="1"/>
    <col min="13076" max="13076" width="10.5703125" style="15" customWidth="1"/>
    <col min="13077" max="13077" width="27.5703125" style="15" bestFit="1" customWidth="1"/>
    <col min="13078" max="13078" width="30" style="15" customWidth="1"/>
    <col min="13079" max="13079" width="16.5703125" style="15" customWidth="1"/>
    <col min="13080" max="13080" width="11.28515625" style="15" customWidth="1"/>
    <col min="13081" max="13081" width="5.5703125" style="15" customWidth="1"/>
    <col min="13082" max="13082" width="13.7109375" style="15" customWidth="1"/>
    <col min="13083" max="13083" width="59" style="15" customWidth="1"/>
    <col min="13084" max="13322" width="9.140625" style="15"/>
    <col min="13323" max="13323" width="10.5703125" style="15" bestFit="1" customWidth="1"/>
    <col min="13324" max="13324" width="10.5703125" style="15" customWidth="1"/>
    <col min="13325" max="13331" width="24.28515625" style="15" customWidth="1"/>
    <col min="13332" max="13332" width="10.5703125" style="15" customWidth="1"/>
    <col min="13333" max="13333" width="27.5703125" style="15" bestFit="1" customWidth="1"/>
    <col min="13334" max="13334" width="30" style="15" customWidth="1"/>
    <col min="13335" max="13335" width="16.5703125" style="15" customWidth="1"/>
    <col min="13336" max="13336" width="11.28515625" style="15" customWidth="1"/>
    <col min="13337" max="13337" width="5.5703125" style="15" customWidth="1"/>
    <col min="13338" max="13338" width="13.7109375" style="15" customWidth="1"/>
    <col min="13339" max="13339" width="59" style="15" customWidth="1"/>
    <col min="13340" max="13578" width="9.140625" style="15"/>
    <col min="13579" max="13579" width="10.5703125" style="15" bestFit="1" customWidth="1"/>
    <col min="13580" max="13580" width="10.5703125" style="15" customWidth="1"/>
    <col min="13581" max="13587" width="24.28515625" style="15" customWidth="1"/>
    <col min="13588" max="13588" width="10.5703125" style="15" customWidth="1"/>
    <col min="13589" max="13589" width="27.5703125" style="15" bestFit="1" customWidth="1"/>
    <col min="13590" max="13590" width="30" style="15" customWidth="1"/>
    <col min="13591" max="13591" width="16.5703125" style="15" customWidth="1"/>
    <col min="13592" max="13592" width="11.28515625" style="15" customWidth="1"/>
    <col min="13593" max="13593" width="5.5703125" style="15" customWidth="1"/>
    <col min="13594" max="13594" width="13.7109375" style="15" customWidth="1"/>
    <col min="13595" max="13595" width="59" style="15" customWidth="1"/>
    <col min="13596" max="13834" width="9.140625" style="15"/>
    <col min="13835" max="13835" width="10.5703125" style="15" bestFit="1" customWidth="1"/>
    <col min="13836" max="13836" width="10.5703125" style="15" customWidth="1"/>
    <col min="13837" max="13843" width="24.28515625" style="15" customWidth="1"/>
    <col min="13844" max="13844" width="10.5703125" style="15" customWidth="1"/>
    <col min="13845" max="13845" width="27.5703125" style="15" bestFit="1" customWidth="1"/>
    <col min="13846" max="13846" width="30" style="15" customWidth="1"/>
    <col min="13847" max="13847" width="16.5703125" style="15" customWidth="1"/>
    <col min="13848" max="13848" width="11.28515625" style="15" customWidth="1"/>
    <col min="13849" max="13849" width="5.5703125" style="15" customWidth="1"/>
    <col min="13850" max="13850" width="13.7109375" style="15" customWidth="1"/>
    <col min="13851" max="13851" width="59" style="15" customWidth="1"/>
    <col min="13852" max="14090" width="9.140625" style="15"/>
    <col min="14091" max="14091" width="10.5703125" style="15" bestFit="1" customWidth="1"/>
    <col min="14092" max="14092" width="10.5703125" style="15" customWidth="1"/>
    <col min="14093" max="14099" width="24.28515625" style="15" customWidth="1"/>
    <col min="14100" max="14100" width="10.5703125" style="15" customWidth="1"/>
    <col min="14101" max="14101" width="27.5703125" style="15" bestFit="1" customWidth="1"/>
    <col min="14102" max="14102" width="30" style="15" customWidth="1"/>
    <col min="14103" max="14103" width="16.5703125" style="15" customWidth="1"/>
    <col min="14104" max="14104" width="11.28515625" style="15" customWidth="1"/>
    <col min="14105" max="14105" width="5.5703125" style="15" customWidth="1"/>
    <col min="14106" max="14106" width="13.7109375" style="15" customWidth="1"/>
    <col min="14107" max="14107" width="59" style="15" customWidth="1"/>
    <col min="14108" max="14346" width="9.140625" style="15"/>
    <col min="14347" max="14347" width="10.5703125" style="15" bestFit="1" customWidth="1"/>
    <col min="14348" max="14348" width="10.5703125" style="15" customWidth="1"/>
    <col min="14349" max="14355" width="24.28515625" style="15" customWidth="1"/>
    <col min="14356" max="14356" width="10.5703125" style="15" customWidth="1"/>
    <col min="14357" max="14357" width="27.5703125" style="15" bestFit="1" customWidth="1"/>
    <col min="14358" max="14358" width="30" style="15" customWidth="1"/>
    <col min="14359" max="14359" width="16.5703125" style="15" customWidth="1"/>
    <col min="14360" max="14360" width="11.28515625" style="15" customWidth="1"/>
    <col min="14361" max="14361" width="5.5703125" style="15" customWidth="1"/>
    <col min="14362" max="14362" width="13.7109375" style="15" customWidth="1"/>
    <col min="14363" max="14363" width="59" style="15" customWidth="1"/>
    <col min="14364" max="14602" width="9.140625" style="15"/>
    <col min="14603" max="14603" width="10.5703125" style="15" bestFit="1" customWidth="1"/>
    <col min="14604" max="14604" width="10.5703125" style="15" customWidth="1"/>
    <col min="14605" max="14611" width="24.28515625" style="15" customWidth="1"/>
    <col min="14612" max="14612" width="10.5703125" style="15" customWidth="1"/>
    <col min="14613" max="14613" width="27.5703125" style="15" bestFit="1" customWidth="1"/>
    <col min="14614" max="14614" width="30" style="15" customWidth="1"/>
    <col min="14615" max="14615" width="16.5703125" style="15" customWidth="1"/>
    <col min="14616" max="14616" width="11.28515625" style="15" customWidth="1"/>
    <col min="14617" max="14617" width="5.5703125" style="15" customWidth="1"/>
    <col min="14618" max="14618" width="13.7109375" style="15" customWidth="1"/>
    <col min="14619" max="14619" width="59" style="15" customWidth="1"/>
    <col min="14620" max="14858" width="9.140625" style="15"/>
    <col min="14859" max="14859" width="10.5703125" style="15" bestFit="1" customWidth="1"/>
    <col min="14860" max="14860" width="10.5703125" style="15" customWidth="1"/>
    <col min="14861" max="14867" width="24.28515625" style="15" customWidth="1"/>
    <col min="14868" max="14868" width="10.5703125" style="15" customWidth="1"/>
    <col min="14869" max="14869" width="27.5703125" style="15" bestFit="1" customWidth="1"/>
    <col min="14870" max="14870" width="30" style="15" customWidth="1"/>
    <col min="14871" max="14871" width="16.5703125" style="15" customWidth="1"/>
    <col min="14872" max="14872" width="11.28515625" style="15" customWidth="1"/>
    <col min="14873" max="14873" width="5.5703125" style="15" customWidth="1"/>
    <col min="14874" max="14874" width="13.7109375" style="15" customWidth="1"/>
    <col min="14875" max="14875" width="59" style="15" customWidth="1"/>
    <col min="14876" max="15114" width="9.140625" style="15"/>
    <col min="15115" max="15115" width="10.5703125" style="15" bestFit="1" customWidth="1"/>
    <col min="15116" max="15116" width="10.5703125" style="15" customWidth="1"/>
    <col min="15117" max="15123" width="24.28515625" style="15" customWidth="1"/>
    <col min="15124" max="15124" width="10.5703125" style="15" customWidth="1"/>
    <col min="15125" max="15125" width="27.5703125" style="15" bestFit="1" customWidth="1"/>
    <col min="15126" max="15126" width="30" style="15" customWidth="1"/>
    <col min="15127" max="15127" width="16.5703125" style="15" customWidth="1"/>
    <col min="15128" max="15128" width="11.28515625" style="15" customWidth="1"/>
    <col min="15129" max="15129" width="5.5703125" style="15" customWidth="1"/>
    <col min="15130" max="15130" width="13.7109375" style="15" customWidth="1"/>
    <col min="15131" max="15131" width="59" style="15" customWidth="1"/>
    <col min="15132" max="15370" width="9.140625" style="15"/>
    <col min="15371" max="15371" width="10.5703125" style="15" bestFit="1" customWidth="1"/>
    <col min="15372" max="15372" width="10.5703125" style="15" customWidth="1"/>
    <col min="15373" max="15379" width="24.28515625" style="15" customWidth="1"/>
    <col min="15380" max="15380" width="10.5703125" style="15" customWidth="1"/>
    <col min="15381" max="15381" width="27.5703125" style="15" bestFit="1" customWidth="1"/>
    <col min="15382" max="15382" width="30" style="15" customWidth="1"/>
    <col min="15383" max="15383" width="16.5703125" style="15" customWidth="1"/>
    <col min="15384" max="15384" width="11.28515625" style="15" customWidth="1"/>
    <col min="15385" max="15385" width="5.5703125" style="15" customWidth="1"/>
    <col min="15386" max="15386" width="13.7109375" style="15" customWidth="1"/>
    <col min="15387" max="15387" width="59" style="15" customWidth="1"/>
    <col min="15388" max="15626" width="9.140625" style="15"/>
    <col min="15627" max="15627" width="10.5703125" style="15" bestFit="1" customWidth="1"/>
    <col min="15628" max="15628" width="10.5703125" style="15" customWidth="1"/>
    <col min="15629" max="15635" width="24.28515625" style="15" customWidth="1"/>
    <col min="15636" max="15636" width="10.5703125" style="15" customWidth="1"/>
    <col min="15637" max="15637" width="27.5703125" style="15" bestFit="1" customWidth="1"/>
    <col min="15638" max="15638" width="30" style="15" customWidth="1"/>
    <col min="15639" max="15639" width="16.5703125" style="15" customWidth="1"/>
    <col min="15640" max="15640" width="11.28515625" style="15" customWidth="1"/>
    <col min="15641" max="15641" width="5.5703125" style="15" customWidth="1"/>
    <col min="15642" max="15642" width="13.7109375" style="15" customWidth="1"/>
    <col min="15643" max="15643" width="59" style="15" customWidth="1"/>
    <col min="15644" max="15882" width="9.140625" style="15"/>
    <col min="15883" max="15883" width="10.5703125" style="15" bestFit="1" customWidth="1"/>
    <col min="15884" max="15884" width="10.5703125" style="15" customWidth="1"/>
    <col min="15885" max="15891" width="24.28515625" style="15" customWidth="1"/>
    <col min="15892" max="15892" width="10.5703125" style="15" customWidth="1"/>
    <col min="15893" max="15893" width="27.5703125" style="15" bestFit="1" customWidth="1"/>
    <col min="15894" max="15894" width="30" style="15" customWidth="1"/>
    <col min="15895" max="15895" width="16.5703125" style="15" customWidth="1"/>
    <col min="15896" max="15896" width="11.28515625" style="15" customWidth="1"/>
    <col min="15897" max="15897" width="5.5703125" style="15" customWidth="1"/>
    <col min="15898" max="15898" width="13.7109375" style="15" customWidth="1"/>
    <col min="15899" max="15899" width="59" style="15" customWidth="1"/>
    <col min="15900" max="16138" width="9.140625" style="15"/>
    <col min="16139" max="16139" width="10.5703125" style="15" bestFit="1" customWidth="1"/>
    <col min="16140" max="16140" width="10.5703125" style="15" customWidth="1"/>
    <col min="16141" max="16147" width="24.28515625" style="15" customWidth="1"/>
    <col min="16148" max="16148" width="10.5703125" style="15" customWidth="1"/>
    <col min="16149" max="16149" width="27.5703125" style="15" bestFit="1" customWidth="1"/>
    <col min="16150" max="16150" width="30" style="15" customWidth="1"/>
    <col min="16151" max="16151" width="16.5703125" style="15" customWidth="1"/>
    <col min="16152" max="16152" width="11.28515625" style="15" customWidth="1"/>
    <col min="16153" max="16153" width="5.5703125" style="15" customWidth="1"/>
    <col min="16154" max="16154" width="13.7109375" style="15" customWidth="1"/>
    <col min="16155" max="16155" width="59" style="15" customWidth="1"/>
    <col min="16156" max="16384" width="9.140625" style="15"/>
  </cols>
  <sheetData>
    <row r="1" spans="1:39" x14ac:dyDescent="0.25">
      <c r="B1" s="132" t="s">
        <v>425</v>
      </c>
      <c r="L1" s="49" t="s">
        <v>225</v>
      </c>
      <c r="M1" s="49"/>
      <c r="N1" s="49"/>
      <c r="O1" s="49"/>
      <c r="P1" s="49">
        <v>15</v>
      </c>
    </row>
    <row r="2" spans="1:39" x14ac:dyDescent="0.25">
      <c r="A2" s="15" t="s">
        <v>226</v>
      </c>
      <c r="L2" s="49" t="s">
        <v>227</v>
      </c>
      <c r="M2" s="49"/>
      <c r="N2" s="49"/>
      <c r="O2" s="49">
        <v>1</v>
      </c>
      <c r="P2" s="49" t="s">
        <v>228</v>
      </c>
      <c r="Q2" s="49"/>
      <c r="R2" s="49">
        <v>12</v>
      </c>
      <c r="S2" s="49" t="s">
        <v>229</v>
      </c>
    </row>
    <row r="4" spans="1:39" x14ac:dyDescent="0.25">
      <c r="B4" s="15" t="s">
        <v>151</v>
      </c>
      <c r="E4" s="133">
        <v>1250</v>
      </c>
    </row>
    <row r="5" spans="1:39" x14ac:dyDescent="0.25">
      <c r="N5" s="49"/>
      <c r="O5" s="49"/>
      <c r="P5" s="49"/>
    </row>
    <row r="11" spans="1:39" x14ac:dyDescent="0.25">
      <c r="B11" s="15" t="s">
        <v>77</v>
      </c>
      <c r="M11" s="15" t="s">
        <v>323</v>
      </c>
      <c r="V11" s="15" t="s">
        <v>283</v>
      </c>
    </row>
    <row r="12" spans="1:39" x14ac:dyDescent="0.25">
      <c r="B12" s="15" t="s">
        <v>78</v>
      </c>
      <c r="I12" s="133">
        <v>6</v>
      </c>
      <c r="M12" s="15" t="s">
        <v>324</v>
      </c>
      <c r="V12" s="15" t="s">
        <v>284</v>
      </c>
    </row>
    <row r="13" spans="1:39" x14ac:dyDescent="0.25">
      <c r="B13" s="15" t="s">
        <v>79</v>
      </c>
      <c r="I13" s="133">
        <v>12</v>
      </c>
      <c r="M13" s="15" t="s">
        <v>325</v>
      </c>
    </row>
    <row r="14" spans="1:39" ht="50.25" customHeight="1" thickBot="1" x14ac:dyDescent="0.3">
      <c r="B14" s="15" t="s">
        <v>5</v>
      </c>
      <c r="I14" s="133">
        <v>12.600000000000001</v>
      </c>
      <c r="K14" s="15" t="s">
        <v>77</v>
      </c>
      <c r="L14" s="15" t="s">
        <v>78</v>
      </c>
      <c r="M14" s="15" t="s">
        <v>79</v>
      </c>
      <c r="N14" s="15" t="s">
        <v>5</v>
      </c>
      <c r="O14" s="15" t="s">
        <v>6</v>
      </c>
      <c r="T14" s="15" t="s">
        <v>77</v>
      </c>
      <c r="U14" s="15" t="s">
        <v>78</v>
      </c>
      <c r="V14" s="15" t="s">
        <v>79</v>
      </c>
      <c r="W14" s="134"/>
      <c r="X14" s="134" t="s">
        <v>5</v>
      </c>
      <c r="Y14" s="134"/>
      <c r="Z14" s="134"/>
      <c r="AA14" s="134"/>
      <c r="AB14" s="134" t="s">
        <v>6</v>
      </c>
    </row>
    <row r="15" spans="1:39" x14ac:dyDescent="0.25">
      <c r="B15" s="15" t="s">
        <v>6</v>
      </c>
      <c r="I15" s="133">
        <v>10</v>
      </c>
      <c r="L15" s="135" t="s">
        <v>87</v>
      </c>
      <c r="M15" s="136" t="s">
        <v>90</v>
      </c>
      <c r="N15" s="136" t="s">
        <v>8</v>
      </c>
      <c r="O15" s="136" t="s">
        <v>9</v>
      </c>
      <c r="P15" s="136"/>
      <c r="Q15" s="136"/>
      <c r="R15" s="136"/>
      <c r="S15" s="137"/>
      <c r="U15" s="135" t="s">
        <v>80</v>
      </c>
      <c r="V15" s="136" t="s">
        <v>80</v>
      </c>
      <c r="W15" s="136"/>
      <c r="X15" s="136" t="s">
        <v>354</v>
      </c>
      <c r="Y15" s="136"/>
      <c r="Z15" s="136"/>
      <c r="AA15" s="136"/>
      <c r="AB15" s="136" t="s">
        <v>354</v>
      </c>
      <c r="AM15" s="15" t="s">
        <v>333</v>
      </c>
    </row>
    <row r="16" spans="1:39" x14ac:dyDescent="0.25">
      <c r="B16" s="49"/>
      <c r="I16" s="133"/>
      <c r="L16" s="138" t="s">
        <v>86</v>
      </c>
      <c r="M16" s="15" t="s">
        <v>91</v>
      </c>
      <c r="N16" s="15" t="s">
        <v>84</v>
      </c>
      <c r="O16" s="15" t="s">
        <v>10</v>
      </c>
      <c r="S16" s="139"/>
      <c r="U16" s="138" t="s">
        <v>81</v>
      </c>
      <c r="V16" s="15" t="s">
        <v>81</v>
      </c>
      <c r="X16" s="15" t="s">
        <v>355</v>
      </c>
      <c r="AB16" s="15" t="s">
        <v>355</v>
      </c>
      <c r="AM16" s="15" t="s">
        <v>402</v>
      </c>
    </row>
    <row r="17" spans="2:39" x14ac:dyDescent="0.25">
      <c r="I17" s="133"/>
      <c r="L17" s="138" t="s">
        <v>88</v>
      </c>
      <c r="M17" s="15" t="s">
        <v>88</v>
      </c>
      <c r="N17" s="15" t="s">
        <v>85</v>
      </c>
      <c r="O17" s="15" t="s">
        <v>327</v>
      </c>
      <c r="S17" s="139"/>
      <c r="U17" s="138" t="s">
        <v>82</v>
      </c>
      <c r="V17" s="15" t="s">
        <v>82</v>
      </c>
      <c r="X17" s="15" t="s">
        <v>356</v>
      </c>
      <c r="AB17" s="15" t="s">
        <v>356</v>
      </c>
      <c r="AM17" s="15" t="s">
        <v>403</v>
      </c>
    </row>
    <row r="18" spans="2:39" ht="15.75" thickBot="1" x14ac:dyDescent="0.3">
      <c r="I18" s="133"/>
      <c r="L18" s="140" t="s">
        <v>89</v>
      </c>
      <c r="M18" s="141" t="s">
        <v>89</v>
      </c>
      <c r="N18" s="141"/>
      <c r="O18" s="141" t="s">
        <v>328</v>
      </c>
      <c r="P18" s="141"/>
      <c r="Q18" s="141"/>
      <c r="R18" s="141"/>
      <c r="S18" s="142"/>
      <c r="U18" s="138" t="s">
        <v>11</v>
      </c>
      <c r="V18" s="15" t="s">
        <v>11</v>
      </c>
      <c r="X18" s="15" t="s">
        <v>357</v>
      </c>
      <c r="AB18" s="15" t="s">
        <v>357</v>
      </c>
      <c r="AM18" s="15" t="s">
        <v>341</v>
      </c>
    </row>
    <row r="19" spans="2:39" x14ac:dyDescent="0.25">
      <c r="U19" s="138" t="s">
        <v>83</v>
      </c>
      <c r="V19" s="15" t="s">
        <v>83</v>
      </c>
      <c r="X19" s="15" t="s">
        <v>358</v>
      </c>
      <c r="AB19" s="15" t="s">
        <v>358</v>
      </c>
      <c r="AM19" s="15" t="s">
        <v>342</v>
      </c>
    </row>
    <row r="20" spans="2:39" x14ac:dyDescent="0.25">
      <c r="U20" s="138" t="s">
        <v>92</v>
      </c>
      <c r="V20" s="15" t="s">
        <v>92</v>
      </c>
      <c r="Z20" s="143"/>
      <c r="AB20" s="139"/>
      <c r="AM20" s="15" t="s">
        <v>400</v>
      </c>
    </row>
    <row r="21" spans="2:39" x14ac:dyDescent="0.25">
      <c r="I21" s="144"/>
      <c r="U21" s="138" t="s">
        <v>359</v>
      </c>
      <c r="V21" s="15" t="s">
        <v>359</v>
      </c>
      <c r="X21" s="15" t="s">
        <v>360</v>
      </c>
      <c r="AA21" s="143"/>
      <c r="AB21" s="139" t="s">
        <v>361</v>
      </c>
      <c r="AM21" s="15" t="s">
        <v>401</v>
      </c>
    </row>
    <row r="22" spans="2:39" x14ac:dyDescent="0.25">
      <c r="M22" s="15" t="s">
        <v>374</v>
      </c>
      <c r="U22" s="138" t="s">
        <v>286</v>
      </c>
      <c r="V22" s="15" t="s">
        <v>286</v>
      </c>
      <c r="X22" s="15" t="s">
        <v>371</v>
      </c>
      <c r="Z22" s="143"/>
      <c r="AB22" s="139" t="s">
        <v>285</v>
      </c>
      <c r="AM22" s="15" t="s">
        <v>334</v>
      </c>
    </row>
    <row r="23" spans="2:39" ht="15.75" thickBot="1" x14ac:dyDescent="0.3">
      <c r="B23" s="15" t="s">
        <v>287</v>
      </c>
      <c r="I23" s="133">
        <v>0</v>
      </c>
      <c r="M23" s="15" t="s">
        <v>375</v>
      </c>
      <c r="U23" s="138" t="s">
        <v>6</v>
      </c>
      <c r="V23" s="138" t="s">
        <v>6</v>
      </c>
      <c r="X23" s="15" t="s">
        <v>369</v>
      </c>
      <c r="AB23" s="142" t="s">
        <v>12</v>
      </c>
      <c r="AM23" s="15" t="s">
        <v>335</v>
      </c>
    </row>
    <row r="24" spans="2:39" x14ac:dyDescent="0.25">
      <c r="B24" s="15" t="s">
        <v>23</v>
      </c>
      <c r="I24" s="133">
        <v>3.5</v>
      </c>
      <c r="M24" s="15" t="s">
        <v>376</v>
      </c>
      <c r="U24" s="138" t="s">
        <v>288</v>
      </c>
      <c r="V24" s="138" t="s">
        <v>288</v>
      </c>
      <c r="X24" s="15" t="s">
        <v>362</v>
      </c>
      <c r="Z24" s="143"/>
      <c r="AB24" s="139"/>
      <c r="AM24" s="15" t="s">
        <v>336</v>
      </c>
    </row>
    <row r="25" spans="2:39" x14ac:dyDescent="0.25">
      <c r="B25" s="15" t="s">
        <v>25</v>
      </c>
      <c r="I25" s="133">
        <v>7</v>
      </c>
      <c r="M25" s="15" t="s">
        <v>377</v>
      </c>
      <c r="U25" s="138" t="s">
        <v>364</v>
      </c>
      <c r="V25" s="138" t="s">
        <v>364</v>
      </c>
      <c r="X25" s="15" t="s">
        <v>363</v>
      </c>
      <c r="AB25" s="139"/>
      <c r="AM25" s="15" t="s">
        <v>390</v>
      </c>
    </row>
    <row r="26" spans="2:39" x14ac:dyDescent="0.25">
      <c r="M26" s="15" t="s">
        <v>378</v>
      </c>
      <c r="U26" s="138" t="s">
        <v>365</v>
      </c>
      <c r="V26" s="138" t="s">
        <v>365</v>
      </c>
      <c r="AB26" s="139"/>
      <c r="AM26" s="15" t="s">
        <v>337</v>
      </c>
    </row>
    <row r="27" spans="2:39" x14ac:dyDescent="0.25">
      <c r="B27" s="15" t="s">
        <v>21</v>
      </c>
      <c r="I27" s="133">
        <v>0</v>
      </c>
      <c r="M27" s="15" t="s">
        <v>379</v>
      </c>
      <c r="U27" s="138" t="s">
        <v>366</v>
      </c>
      <c r="V27" s="138" t="s">
        <v>366</v>
      </c>
      <c r="X27" s="15" t="s">
        <v>370</v>
      </c>
      <c r="AB27" s="139"/>
      <c r="AM27" s="15" t="s">
        <v>338</v>
      </c>
    </row>
    <row r="28" spans="2:39" ht="15.75" thickBot="1" x14ac:dyDescent="0.3">
      <c r="M28" s="15" t="s">
        <v>380</v>
      </c>
      <c r="U28" s="140" t="s">
        <v>367</v>
      </c>
      <c r="V28" s="140" t="s">
        <v>367</v>
      </c>
      <c r="W28" s="141"/>
      <c r="X28" s="141" t="s">
        <v>372</v>
      </c>
      <c r="Y28" s="141"/>
      <c r="Z28" s="141"/>
      <c r="AA28" s="141"/>
      <c r="AB28" s="142"/>
      <c r="AM28" s="15" t="s">
        <v>339</v>
      </c>
    </row>
    <row r="29" spans="2:39" x14ac:dyDescent="0.25">
      <c r="M29" s="15" t="s">
        <v>381</v>
      </c>
      <c r="T29" s="143" t="s">
        <v>278</v>
      </c>
      <c r="AM29" s="15" t="s">
        <v>340</v>
      </c>
    </row>
    <row r="30" spans="2:39" x14ac:dyDescent="0.25">
      <c r="B30" s="15" t="s">
        <v>29</v>
      </c>
      <c r="I30" s="133">
        <v>18</v>
      </c>
      <c r="M30" s="15" t="s">
        <v>382</v>
      </c>
      <c r="AM30" s="15" t="s">
        <v>393</v>
      </c>
    </row>
    <row r="31" spans="2:39" x14ac:dyDescent="0.25">
      <c r="B31" s="15" t="s">
        <v>31</v>
      </c>
      <c r="I31" s="133">
        <v>2.9</v>
      </c>
      <c r="M31" s="15" t="s">
        <v>383</v>
      </c>
      <c r="S31" s="145">
        <v>1</v>
      </c>
      <c r="T31" s="15" t="s">
        <v>279</v>
      </c>
      <c r="AM31" s="15" t="s">
        <v>407</v>
      </c>
    </row>
    <row r="32" spans="2:39" x14ac:dyDescent="0.25">
      <c r="I32" s="144"/>
      <c r="M32" s="15" t="s">
        <v>384</v>
      </c>
      <c r="S32" s="145">
        <v>2</v>
      </c>
      <c r="T32" s="15" t="s">
        <v>280</v>
      </c>
      <c r="Z32" s="144">
        <v>50.599999999999994</v>
      </c>
      <c r="AM32" s="15" t="s">
        <v>408</v>
      </c>
    </row>
    <row r="33" spans="2:39" x14ac:dyDescent="0.25">
      <c r="I33" s="144"/>
      <c r="M33" s="15" t="s">
        <v>385</v>
      </c>
      <c r="S33" s="145">
        <v>3</v>
      </c>
      <c r="AM33" s="15" t="s">
        <v>348</v>
      </c>
    </row>
    <row r="34" spans="2:39" x14ac:dyDescent="0.25">
      <c r="B34" s="15" t="s">
        <v>32</v>
      </c>
      <c r="I34" s="133">
        <v>6</v>
      </c>
      <c r="M34" s="15" t="s">
        <v>406</v>
      </c>
      <c r="S34" s="145">
        <v>4</v>
      </c>
      <c r="T34" s="15" t="s">
        <v>78</v>
      </c>
      <c r="V34" s="15" t="s">
        <v>80</v>
      </c>
      <c r="AA34" s="144">
        <v>6</v>
      </c>
      <c r="AM34" s="15" t="s">
        <v>349</v>
      </c>
    </row>
    <row r="35" spans="2:39" x14ac:dyDescent="0.25">
      <c r="B35" s="15" t="s">
        <v>0</v>
      </c>
      <c r="I35" s="133">
        <v>6</v>
      </c>
      <c r="S35" s="145">
        <v>5</v>
      </c>
      <c r="T35" s="15" t="s">
        <v>33</v>
      </c>
      <c r="AM35" s="15" t="s">
        <v>350</v>
      </c>
    </row>
    <row r="36" spans="2:39" x14ac:dyDescent="0.25">
      <c r="B36" s="15" t="s">
        <v>1</v>
      </c>
      <c r="I36" s="133">
        <v>6</v>
      </c>
      <c r="S36" s="145">
        <v>6</v>
      </c>
      <c r="AM36" s="15" t="s">
        <v>351</v>
      </c>
    </row>
    <row r="37" spans="2:39" x14ac:dyDescent="0.25">
      <c r="B37" s="15" t="s">
        <v>2</v>
      </c>
      <c r="I37" s="133">
        <v>6</v>
      </c>
      <c r="S37" s="145">
        <v>7</v>
      </c>
      <c r="AM37" s="15" t="s">
        <v>352</v>
      </c>
    </row>
    <row r="38" spans="2:39" x14ac:dyDescent="0.25">
      <c r="B38" s="15" t="s">
        <v>3</v>
      </c>
      <c r="I38" s="133">
        <v>6</v>
      </c>
      <c r="S38" s="145">
        <v>8</v>
      </c>
      <c r="T38" s="15" t="s">
        <v>56</v>
      </c>
      <c r="AA38" s="49">
        <v>36.9</v>
      </c>
      <c r="AM38" s="15" t="s">
        <v>404</v>
      </c>
    </row>
    <row r="39" spans="2:39" x14ac:dyDescent="0.25">
      <c r="B39" s="15" t="s">
        <v>4</v>
      </c>
      <c r="I39" s="133">
        <v>6</v>
      </c>
      <c r="S39" s="145">
        <v>9</v>
      </c>
      <c r="T39" s="15" t="s">
        <v>57</v>
      </c>
      <c r="AM39" s="15" t="s">
        <v>405</v>
      </c>
    </row>
    <row r="40" spans="2:39" x14ac:dyDescent="0.25">
      <c r="B40" s="15" t="s">
        <v>7</v>
      </c>
      <c r="I40" s="133">
        <v>6</v>
      </c>
      <c r="S40" s="145">
        <v>10</v>
      </c>
      <c r="T40" s="15" t="s">
        <v>58</v>
      </c>
      <c r="AM40" s="15" t="s">
        <v>343</v>
      </c>
    </row>
    <row r="41" spans="2:39" x14ac:dyDescent="0.25">
      <c r="B41" s="15" t="s">
        <v>11</v>
      </c>
      <c r="I41" s="133">
        <v>6</v>
      </c>
      <c r="S41" s="145">
        <v>11</v>
      </c>
      <c r="T41" s="15" t="s">
        <v>59</v>
      </c>
      <c r="AM41" s="15" t="s">
        <v>344</v>
      </c>
    </row>
    <row r="42" spans="2:39" x14ac:dyDescent="0.25">
      <c r="B42" s="15" t="s">
        <v>14</v>
      </c>
      <c r="I42" s="133">
        <v>6</v>
      </c>
      <c r="S42" s="145">
        <v>12</v>
      </c>
      <c r="T42" s="15" t="s">
        <v>60</v>
      </c>
      <c r="AM42" s="15" t="s">
        <v>345</v>
      </c>
    </row>
    <row r="43" spans="2:39" x14ac:dyDescent="0.25">
      <c r="I43" s="144"/>
      <c r="S43" s="145">
        <v>13</v>
      </c>
      <c r="T43" s="15" t="s">
        <v>114</v>
      </c>
      <c r="AM43" s="15" t="s">
        <v>346</v>
      </c>
    </row>
    <row r="44" spans="2:39" x14ac:dyDescent="0.25">
      <c r="B44" s="15" t="s">
        <v>95</v>
      </c>
      <c r="S44" s="145">
        <v>14</v>
      </c>
      <c r="T44" s="15" t="s">
        <v>281</v>
      </c>
      <c r="AM44" s="15" t="s">
        <v>347</v>
      </c>
    </row>
    <row r="45" spans="2:39" x14ac:dyDescent="0.25">
      <c r="B45" s="15" t="s">
        <v>33</v>
      </c>
      <c r="I45" s="133" t="s">
        <v>34</v>
      </c>
      <c r="S45" s="145">
        <v>15</v>
      </c>
      <c r="AM45" s="15" t="s">
        <v>98</v>
      </c>
    </row>
    <row r="46" spans="2:39" x14ac:dyDescent="0.25">
      <c r="B46" s="15" t="s">
        <v>36</v>
      </c>
      <c r="I46" s="133">
        <v>1.6</v>
      </c>
      <c r="S46" s="145">
        <v>16</v>
      </c>
      <c r="T46" s="15" t="s">
        <v>236</v>
      </c>
      <c r="AA46" s="49">
        <v>3.8</v>
      </c>
      <c r="AM46" s="15" t="s">
        <v>99</v>
      </c>
    </row>
    <row r="47" spans="2:39" x14ac:dyDescent="0.25">
      <c r="B47" s="15" t="s">
        <v>35</v>
      </c>
      <c r="I47" s="133">
        <v>1.6</v>
      </c>
      <c r="S47" s="145">
        <v>17</v>
      </c>
      <c r="AM47" s="15" t="s">
        <v>24</v>
      </c>
    </row>
    <row r="48" spans="2:39" x14ac:dyDescent="0.25">
      <c r="B48" s="15" t="s">
        <v>35</v>
      </c>
      <c r="I48" s="133">
        <v>1.6</v>
      </c>
      <c r="S48" s="145">
        <v>18</v>
      </c>
      <c r="T48" s="15" t="s">
        <v>135</v>
      </c>
      <c r="AA48" s="49">
        <v>3.9</v>
      </c>
      <c r="AM48" s="15" t="s">
        <v>389</v>
      </c>
    </row>
    <row r="49" spans="2:39" x14ac:dyDescent="0.25">
      <c r="B49" s="15" t="s">
        <v>35</v>
      </c>
      <c r="I49" s="133">
        <v>1.6</v>
      </c>
      <c r="S49" s="145"/>
      <c r="Z49" s="144"/>
      <c r="AM49" s="15" t="s">
        <v>394</v>
      </c>
    </row>
    <row r="50" spans="2:39" x14ac:dyDescent="0.25">
      <c r="I50" s="133"/>
      <c r="S50" s="145">
        <v>1</v>
      </c>
      <c r="T50" s="15" t="s">
        <v>279</v>
      </c>
      <c r="AM50" s="15" t="s">
        <v>410</v>
      </c>
    </row>
    <row r="51" spans="2:39" x14ac:dyDescent="0.25">
      <c r="B51" s="15" t="s">
        <v>93</v>
      </c>
      <c r="I51" s="133">
        <v>4</v>
      </c>
      <c r="S51" s="145">
        <v>2</v>
      </c>
      <c r="T51" s="15" t="s">
        <v>280</v>
      </c>
      <c r="Z51" s="144">
        <v>56.599999999999994</v>
      </c>
      <c r="AM51" s="15" t="s">
        <v>411</v>
      </c>
    </row>
    <row r="52" spans="2:39" x14ac:dyDescent="0.25">
      <c r="B52" s="15" t="s">
        <v>94</v>
      </c>
      <c r="I52" s="133">
        <v>4</v>
      </c>
      <c r="S52" s="145">
        <v>3</v>
      </c>
      <c r="AM52" s="15" t="s">
        <v>375</v>
      </c>
    </row>
    <row r="53" spans="2:39" x14ac:dyDescent="0.25">
      <c r="B53" s="49" t="s">
        <v>251</v>
      </c>
      <c r="I53" s="133">
        <v>6</v>
      </c>
      <c r="S53" s="145">
        <v>4</v>
      </c>
      <c r="T53" s="15" t="s">
        <v>79</v>
      </c>
      <c r="W53" s="15" t="s">
        <v>80</v>
      </c>
      <c r="AA53" s="144">
        <v>12</v>
      </c>
      <c r="AM53" s="15" t="s">
        <v>376</v>
      </c>
    </row>
    <row r="54" spans="2:39" x14ac:dyDescent="0.25">
      <c r="S54" s="145">
        <v>5</v>
      </c>
      <c r="T54" s="15" t="s">
        <v>33</v>
      </c>
      <c r="AM54" s="15" t="s">
        <v>377</v>
      </c>
    </row>
    <row r="55" spans="2:39" x14ac:dyDescent="0.25">
      <c r="S55" s="145">
        <v>6</v>
      </c>
      <c r="AM55" s="15" t="s">
        <v>378</v>
      </c>
    </row>
    <row r="56" spans="2:39" x14ac:dyDescent="0.25">
      <c r="S56" s="145">
        <v>7</v>
      </c>
      <c r="AM56" s="15" t="s">
        <v>385</v>
      </c>
    </row>
    <row r="57" spans="2:39" x14ac:dyDescent="0.25">
      <c r="S57" s="145">
        <v>8</v>
      </c>
      <c r="T57" s="15" t="s">
        <v>56</v>
      </c>
      <c r="AA57" s="49">
        <v>36.9</v>
      </c>
      <c r="AM57" s="15" t="s">
        <v>379</v>
      </c>
    </row>
    <row r="58" spans="2:39" x14ac:dyDescent="0.25">
      <c r="B58" s="15" t="s">
        <v>110</v>
      </c>
      <c r="E58" s="15" t="s">
        <v>108</v>
      </c>
      <c r="H58" s="15" t="s">
        <v>109</v>
      </c>
      <c r="S58" s="145">
        <v>9</v>
      </c>
      <c r="T58" s="15" t="s">
        <v>57</v>
      </c>
      <c r="AM58" s="15" t="s">
        <v>412</v>
      </c>
    </row>
    <row r="59" spans="2:39" x14ac:dyDescent="0.25">
      <c r="B59" s="15" t="s">
        <v>111</v>
      </c>
      <c r="E59" s="15" t="s">
        <v>111</v>
      </c>
      <c r="H59" s="15" t="s">
        <v>111</v>
      </c>
      <c r="S59" s="145">
        <v>10</v>
      </c>
      <c r="T59" s="15" t="s">
        <v>58</v>
      </c>
      <c r="AM59" s="15" t="s">
        <v>413</v>
      </c>
    </row>
    <row r="60" spans="2:39" x14ac:dyDescent="0.25">
      <c r="B60" s="15" t="s">
        <v>96</v>
      </c>
      <c r="E60" s="15" t="s">
        <v>100</v>
      </c>
      <c r="H60" s="15" t="s">
        <v>104</v>
      </c>
      <c r="S60" s="145">
        <v>11</v>
      </c>
      <c r="T60" s="15" t="s">
        <v>59</v>
      </c>
      <c r="AM60" s="15" t="s">
        <v>382</v>
      </c>
    </row>
    <row r="61" spans="2:39" x14ac:dyDescent="0.25">
      <c r="B61" s="15" t="s">
        <v>97</v>
      </c>
      <c r="E61" s="15" t="s">
        <v>101</v>
      </c>
      <c r="H61" s="15" t="s">
        <v>105</v>
      </c>
      <c r="S61" s="145">
        <v>12</v>
      </c>
      <c r="T61" s="15" t="s">
        <v>60</v>
      </c>
      <c r="AM61" s="15" t="s">
        <v>414</v>
      </c>
    </row>
    <row r="62" spans="2:39" x14ac:dyDescent="0.25">
      <c r="B62" s="15" t="s">
        <v>98</v>
      </c>
      <c r="E62" s="15" t="s">
        <v>102</v>
      </c>
      <c r="H62" s="15" t="s">
        <v>106</v>
      </c>
      <c r="S62" s="145">
        <v>13</v>
      </c>
      <c r="T62" s="15" t="s">
        <v>114</v>
      </c>
      <c r="AM62" s="15" t="s">
        <v>415</v>
      </c>
    </row>
    <row r="63" spans="2:39" x14ac:dyDescent="0.25">
      <c r="B63" s="15" t="s">
        <v>99</v>
      </c>
      <c r="E63" s="15" t="s">
        <v>103</v>
      </c>
      <c r="H63" s="15" t="s">
        <v>107</v>
      </c>
      <c r="S63" s="145">
        <v>14</v>
      </c>
      <c r="T63" s="15" t="s">
        <v>281</v>
      </c>
      <c r="AM63" s="15" t="s">
        <v>406</v>
      </c>
    </row>
    <row r="64" spans="2:39" x14ac:dyDescent="0.25">
      <c r="B64" s="15" t="s">
        <v>289</v>
      </c>
      <c r="H64" s="15" t="s">
        <v>290</v>
      </c>
      <c r="S64" s="145">
        <v>15</v>
      </c>
    </row>
    <row r="65" spans="2:27" x14ac:dyDescent="0.25">
      <c r="S65" s="145">
        <v>16</v>
      </c>
      <c r="T65" s="15" t="s">
        <v>236</v>
      </c>
      <c r="AA65" s="49">
        <v>3.8</v>
      </c>
    </row>
    <row r="66" spans="2:27" x14ac:dyDescent="0.25">
      <c r="S66" s="145">
        <v>17</v>
      </c>
    </row>
    <row r="67" spans="2:27" x14ac:dyDescent="0.25">
      <c r="S67" s="145">
        <v>18</v>
      </c>
      <c r="T67" s="15" t="s">
        <v>135</v>
      </c>
      <c r="AA67" s="49">
        <v>3.9</v>
      </c>
    </row>
    <row r="69" spans="2:27" x14ac:dyDescent="0.25">
      <c r="S69" s="145">
        <v>1</v>
      </c>
      <c r="T69" s="15" t="s">
        <v>279</v>
      </c>
    </row>
    <row r="70" spans="2:27" x14ac:dyDescent="0.25">
      <c r="D70" s="15" t="s">
        <v>38</v>
      </c>
      <c r="S70" s="145">
        <v>2</v>
      </c>
      <c r="T70" s="15" t="s">
        <v>280</v>
      </c>
      <c r="Z70" s="144">
        <v>44.599999999999994</v>
      </c>
    </row>
    <row r="71" spans="2:27" x14ac:dyDescent="0.25">
      <c r="B71" s="15" t="s">
        <v>39</v>
      </c>
      <c r="D71" s="15" t="s">
        <v>40</v>
      </c>
      <c r="G71" s="15" t="s">
        <v>37</v>
      </c>
      <c r="H71" s="146">
        <v>4.5</v>
      </c>
      <c r="S71" s="145">
        <v>3</v>
      </c>
    </row>
    <row r="72" spans="2:27" x14ac:dyDescent="0.25">
      <c r="D72" s="15" t="s">
        <v>41</v>
      </c>
      <c r="G72" s="15" t="s">
        <v>37</v>
      </c>
      <c r="H72" s="146">
        <v>4.2</v>
      </c>
      <c r="S72" s="145">
        <v>4</v>
      </c>
      <c r="T72" s="15">
        <v>0</v>
      </c>
      <c r="AA72" s="144">
        <v>0</v>
      </c>
    </row>
    <row r="73" spans="2:27" x14ac:dyDescent="0.25">
      <c r="D73" s="15" t="s">
        <v>42</v>
      </c>
      <c r="G73" s="15" t="s">
        <v>37</v>
      </c>
      <c r="H73" s="146">
        <v>2.5</v>
      </c>
      <c r="S73" s="145">
        <v>5</v>
      </c>
      <c r="T73" s="15" t="s">
        <v>329</v>
      </c>
    </row>
    <row r="74" spans="2:27" x14ac:dyDescent="0.25">
      <c r="D74" s="15" t="s">
        <v>43</v>
      </c>
      <c r="G74" s="15" t="s">
        <v>37</v>
      </c>
      <c r="H74" s="146">
        <v>2.5</v>
      </c>
      <c r="S74" s="145">
        <v>6</v>
      </c>
      <c r="T74" s="15" t="s">
        <v>282</v>
      </c>
    </row>
    <row r="75" spans="2:27" x14ac:dyDescent="0.25">
      <c r="D75" s="15" t="s">
        <v>44</v>
      </c>
      <c r="G75" s="15" t="s">
        <v>37</v>
      </c>
      <c r="H75" s="146">
        <v>2.5</v>
      </c>
      <c r="S75" s="145">
        <v>7</v>
      </c>
    </row>
    <row r="76" spans="2:27" x14ac:dyDescent="0.25">
      <c r="D76" s="15" t="s">
        <v>45</v>
      </c>
      <c r="G76" s="15" t="s">
        <v>37</v>
      </c>
      <c r="H76" s="146">
        <v>2.5</v>
      </c>
      <c r="S76" s="145">
        <v>8</v>
      </c>
      <c r="T76" s="15" t="s">
        <v>56</v>
      </c>
      <c r="AA76" s="49">
        <v>36.9</v>
      </c>
    </row>
    <row r="77" spans="2:27" x14ac:dyDescent="0.25">
      <c r="B77" s="15" t="s">
        <v>46</v>
      </c>
      <c r="D77" s="15" t="s">
        <v>47</v>
      </c>
      <c r="G77" s="15" t="s">
        <v>37</v>
      </c>
      <c r="H77" s="146">
        <v>2.5</v>
      </c>
      <c r="S77" s="145">
        <v>9</v>
      </c>
      <c r="T77" s="15" t="s">
        <v>57</v>
      </c>
    </row>
    <row r="78" spans="2:27" x14ac:dyDescent="0.25">
      <c r="D78" s="15" t="s">
        <v>48</v>
      </c>
      <c r="G78" s="15" t="s">
        <v>37</v>
      </c>
      <c r="H78" s="146">
        <v>2.5</v>
      </c>
      <c r="S78" s="145">
        <v>10</v>
      </c>
      <c r="T78" s="15" t="s">
        <v>58</v>
      </c>
    </row>
    <row r="79" spans="2:27" x14ac:dyDescent="0.25">
      <c r="D79" s="15" t="s">
        <v>49</v>
      </c>
      <c r="G79" s="15" t="s">
        <v>37</v>
      </c>
      <c r="H79" s="146">
        <v>2.5</v>
      </c>
      <c r="S79" s="145">
        <v>11</v>
      </c>
      <c r="T79" s="15" t="s">
        <v>59</v>
      </c>
    </row>
    <row r="80" spans="2:27" x14ac:dyDescent="0.25">
      <c r="D80" s="15" t="s">
        <v>50</v>
      </c>
      <c r="G80" s="15" t="s">
        <v>37</v>
      </c>
      <c r="H80" s="146">
        <v>2.5</v>
      </c>
      <c r="S80" s="145">
        <v>12</v>
      </c>
      <c r="T80" s="15" t="s">
        <v>60</v>
      </c>
    </row>
    <row r="81" spans="3:27" x14ac:dyDescent="0.25">
      <c r="D81" s="15" t="s">
        <v>51</v>
      </c>
      <c r="G81" s="15" t="s">
        <v>37</v>
      </c>
      <c r="H81" s="146">
        <v>2.5</v>
      </c>
      <c r="S81" s="145">
        <v>13</v>
      </c>
      <c r="T81" s="15" t="s">
        <v>114</v>
      </c>
    </row>
    <row r="82" spans="3:27" x14ac:dyDescent="0.25">
      <c r="S82" s="145">
        <v>14</v>
      </c>
      <c r="T82" s="15" t="s">
        <v>281</v>
      </c>
    </row>
    <row r="83" spans="3:27" x14ac:dyDescent="0.25">
      <c r="S83" s="145">
        <v>15</v>
      </c>
    </row>
    <row r="84" spans="3:27" x14ac:dyDescent="0.25">
      <c r="C84" s="15" t="s">
        <v>230</v>
      </c>
      <c r="I84" s="49"/>
      <c r="S84" s="145">
        <v>16</v>
      </c>
      <c r="T84" s="15" t="s">
        <v>236</v>
      </c>
      <c r="AA84" s="49">
        <v>3.8</v>
      </c>
    </row>
    <row r="85" spans="3:27" x14ac:dyDescent="0.25">
      <c r="C85" s="15" t="s">
        <v>13</v>
      </c>
      <c r="S85" s="145">
        <v>17</v>
      </c>
    </row>
    <row r="86" spans="3:27" x14ac:dyDescent="0.25">
      <c r="C86" s="15" t="s">
        <v>15</v>
      </c>
      <c r="S86" s="145">
        <v>18</v>
      </c>
      <c r="T86" s="15" t="s">
        <v>135</v>
      </c>
      <c r="AA86" s="49">
        <v>3.9</v>
      </c>
    </row>
    <row r="87" spans="3:27" x14ac:dyDescent="0.25">
      <c r="C87" s="15" t="s">
        <v>16</v>
      </c>
    </row>
    <row r="88" spans="3:27" x14ac:dyDescent="0.25">
      <c r="C88" s="15" t="s">
        <v>17</v>
      </c>
    </row>
    <row r="89" spans="3:27" x14ac:dyDescent="0.25">
      <c r="C89" s="15" t="s">
        <v>18</v>
      </c>
      <c r="S89" s="145">
        <v>1</v>
      </c>
      <c r="T89" s="15" t="s">
        <v>279</v>
      </c>
    </row>
    <row r="90" spans="3:27" x14ac:dyDescent="0.25">
      <c r="C90" s="15" t="s">
        <v>19</v>
      </c>
      <c r="S90" s="145">
        <v>2</v>
      </c>
      <c r="T90" s="15" t="s">
        <v>280</v>
      </c>
      <c r="Z90" s="144">
        <v>56.599999999999994</v>
      </c>
    </row>
    <row r="91" spans="3:27" x14ac:dyDescent="0.25">
      <c r="C91" s="15" t="s">
        <v>20</v>
      </c>
      <c r="S91" s="145">
        <v>3</v>
      </c>
    </row>
    <row r="92" spans="3:27" x14ac:dyDescent="0.25">
      <c r="C92" s="15" t="s">
        <v>22</v>
      </c>
      <c r="S92" s="145">
        <v>4</v>
      </c>
      <c r="T92" s="15" t="s">
        <v>78</v>
      </c>
      <c r="V92" s="15" t="s">
        <v>80</v>
      </c>
      <c r="AA92" s="144">
        <v>6</v>
      </c>
    </row>
    <row r="93" spans="3:27" x14ac:dyDescent="0.25">
      <c r="C93" s="15" t="s">
        <v>24</v>
      </c>
      <c r="S93" s="145">
        <v>5</v>
      </c>
      <c r="T93" s="15" t="s">
        <v>33</v>
      </c>
    </row>
    <row r="94" spans="3:27" x14ac:dyDescent="0.25">
      <c r="C94" s="15" t="s">
        <v>26</v>
      </c>
      <c r="S94" s="145">
        <v>6</v>
      </c>
    </row>
    <row r="95" spans="3:27" x14ac:dyDescent="0.25">
      <c r="C95" s="15" t="s">
        <v>27</v>
      </c>
      <c r="S95" s="145">
        <v>7</v>
      </c>
    </row>
    <row r="96" spans="3:27" x14ac:dyDescent="0.25">
      <c r="C96" s="15" t="s">
        <v>28</v>
      </c>
      <c r="S96" s="145">
        <v>8</v>
      </c>
      <c r="T96" s="49" t="s">
        <v>239</v>
      </c>
      <c r="AA96" s="49">
        <v>6</v>
      </c>
    </row>
    <row r="97" spans="1:27" x14ac:dyDescent="0.25">
      <c r="C97" s="15" t="s">
        <v>30</v>
      </c>
      <c r="S97" s="145">
        <v>9</v>
      </c>
      <c r="T97" s="49" t="s">
        <v>52</v>
      </c>
    </row>
    <row r="98" spans="1:27" x14ac:dyDescent="0.25">
      <c r="S98" s="145">
        <v>10</v>
      </c>
      <c r="T98" s="15" t="s">
        <v>56</v>
      </c>
      <c r="AA98" s="49">
        <v>36.9</v>
      </c>
    </row>
    <row r="99" spans="1:27" x14ac:dyDescent="0.25">
      <c r="S99" s="145">
        <v>11</v>
      </c>
      <c r="T99" s="15" t="s">
        <v>59</v>
      </c>
    </row>
    <row r="100" spans="1:27" x14ac:dyDescent="0.25">
      <c r="B100" s="15" t="s">
        <v>114</v>
      </c>
      <c r="G100" s="15" t="s">
        <v>118</v>
      </c>
      <c r="S100" s="145">
        <v>12</v>
      </c>
      <c r="T100" s="15" t="s">
        <v>60</v>
      </c>
    </row>
    <row r="101" spans="1:27" x14ac:dyDescent="0.25">
      <c r="B101" s="15" t="s">
        <v>115</v>
      </c>
      <c r="G101" s="15" t="s">
        <v>118</v>
      </c>
      <c r="S101" s="145">
        <v>13</v>
      </c>
      <c r="T101" s="15" t="s">
        <v>114</v>
      </c>
    </row>
    <row r="102" spans="1:27" x14ac:dyDescent="0.25">
      <c r="B102" s="15" t="s">
        <v>116</v>
      </c>
      <c r="G102" s="15" t="s">
        <v>118</v>
      </c>
      <c r="S102" s="145">
        <v>14</v>
      </c>
      <c r="T102" s="15" t="s">
        <v>281</v>
      </c>
    </row>
    <row r="103" spans="1:27" x14ac:dyDescent="0.25">
      <c r="B103" s="15" t="s">
        <v>117</v>
      </c>
      <c r="G103" s="146">
        <v>1</v>
      </c>
      <c r="S103" s="145">
        <v>15</v>
      </c>
    </row>
    <row r="104" spans="1:27" x14ac:dyDescent="0.25">
      <c r="S104" s="145">
        <v>16</v>
      </c>
      <c r="T104" s="15" t="s">
        <v>236</v>
      </c>
      <c r="AA104" s="49">
        <v>3.8</v>
      </c>
    </row>
    <row r="105" spans="1:27" x14ac:dyDescent="0.25">
      <c r="B105" s="49" t="s">
        <v>395</v>
      </c>
      <c r="C105" s="49"/>
      <c r="D105" s="49"/>
      <c r="E105" s="49"/>
      <c r="F105" s="49" t="s">
        <v>37</v>
      </c>
      <c r="G105" s="146">
        <v>4</v>
      </c>
      <c r="H105" s="49"/>
      <c r="S105" s="145">
        <v>17</v>
      </c>
    </row>
    <row r="106" spans="1:27" x14ac:dyDescent="0.25">
      <c r="B106" s="49" t="s">
        <v>396</v>
      </c>
      <c r="C106" s="49"/>
      <c r="D106" s="49"/>
      <c r="E106" s="49"/>
      <c r="F106" s="49" t="s">
        <v>37</v>
      </c>
      <c r="G106" s="146">
        <v>2.5</v>
      </c>
      <c r="H106" s="49"/>
      <c r="I106" s="49"/>
      <c r="S106" s="145">
        <v>18</v>
      </c>
      <c r="T106" s="15" t="s">
        <v>135</v>
      </c>
      <c r="AA106" s="49">
        <v>3.9</v>
      </c>
    </row>
    <row r="107" spans="1:27" x14ac:dyDescent="0.25">
      <c r="S107" s="145"/>
      <c r="Z107" s="144"/>
    </row>
    <row r="108" spans="1:27" x14ac:dyDescent="0.25">
      <c r="S108" s="145">
        <v>1</v>
      </c>
      <c r="T108" s="15" t="s">
        <v>279</v>
      </c>
    </row>
    <row r="109" spans="1:27" x14ac:dyDescent="0.25">
      <c r="S109" s="145">
        <v>2</v>
      </c>
      <c r="T109" s="15" t="s">
        <v>280</v>
      </c>
      <c r="Z109" s="144">
        <v>62.599999999999994</v>
      </c>
    </row>
    <row r="110" spans="1:27" x14ac:dyDescent="0.25">
      <c r="S110" s="145">
        <v>3</v>
      </c>
    </row>
    <row r="111" spans="1:27" x14ac:dyDescent="0.25">
      <c r="S111" s="145">
        <v>4</v>
      </c>
      <c r="T111" s="15" t="s">
        <v>79</v>
      </c>
      <c r="W111" s="15" t="s">
        <v>80</v>
      </c>
      <c r="AA111" s="144">
        <v>12</v>
      </c>
    </row>
    <row r="112" spans="1:27" x14ac:dyDescent="0.25">
      <c r="A112" s="15">
        <v>1</v>
      </c>
      <c r="B112" s="15" t="s">
        <v>141</v>
      </c>
      <c r="D112" s="15">
        <v>1</v>
      </c>
      <c r="E112" s="15" t="s">
        <v>305</v>
      </c>
      <c r="S112" s="145">
        <v>5</v>
      </c>
      <c r="T112" s="15" t="s">
        <v>33</v>
      </c>
    </row>
    <row r="113" spans="1:27" x14ac:dyDescent="0.25">
      <c r="A113" s="15">
        <v>2</v>
      </c>
      <c r="B113" s="15" t="s">
        <v>56</v>
      </c>
      <c r="D113" s="15">
        <v>2</v>
      </c>
      <c r="E113" s="49" t="s">
        <v>239</v>
      </c>
      <c r="S113" s="145">
        <v>6</v>
      </c>
    </row>
    <row r="114" spans="1:27" x14ac:dyDescent="0.25">
      <c r="A114" s="15">
        <v>3</v>
      </c>
      <c r="B114" s="15" t="s">
        <v>57</v>
      </c>
      <c r="D114" s="15">
        <v>3</v>
      </c>
      <c r="E114" s="15" t="s">
        <v>52</v>
      </c>
      <c r="S114" s="145">
        <v>7</v>
      </c>
    </row>
    <row r="115" spans="1:27" x14ac:dyDescent="0.25">
      <c r="A115" s="15">
        <v>4</v>
      </c>
      <c r="B115" s="15" t="s">
        <v>58</v>
      </c>
      <c r="D115" s="15">
        <v>4</v>
      </c>
      <c r="E115" s="15" t="s">
        <v>53</v>
      </c>
      <c r="S115" s="145">
        <v>8</v>
      </c>
      <c r="T115" s="49" t="s">
        <v>239</v>
      </c>
      <c r="AA115" s="49">
        <v>6</v>
      </c>
    </row>
    <row r="116" spans="1:27" x14ac:dyDescent="0.25">
      <c r="A116" s="15">
        <v>5</v>
      </c>
      <c r="B116" s="15" t="s">
        <v>59</v>
      </c>
      <c r="D116" s="15">
        <v>5</v>
      </c>
      <c r="E116" s="15" t="s">
        <v>54</v>
      </c>
      <c r="S116" s="145">
        <v>9</v>
      </c>
      <c r="T116" s="49" t="s">
        <v>52</v>
      </c>
    </row>
    <row r="117" spans="1:27" x14ac:dyDescent="0.25">
      <c r="A117" s="15">
        <v>6</v>
      </c>
      <c r="B117" s="15" t="s">
        <v>60</v>
      </c>
      <c r="D117" s="15">
        <v>6</v>
      </c>
      <c r="E117" s="15" t="s">
        <v>55</v>
      </c>
      <c r="S117" s="145">
        <v>10</v>
      </c>
      <c r="T117" s="15" t="s">
        <v>56</v>
      </c>
      <c r="AA117" s="49">
        <v>36.9</v>
      </c>
    </row>
    <row r="118" spans="1:27" x14ac:dyDescent="0.25">
      <c r="A118" s="15">
        <v>7</v>
      </c>
      <c r="B118" s="15" t="s">
        <v>61</v>
      </c>
      <c r="D118" s="15">
        <v>7</v>
      </c>
      <c r="E118" s="147" t="s">
        <v>291</v>
      </c>
      <c r="S118" s="145">
        <v>11</v>
      </c>
      <c r="T118" s="15" t="s">
        <v>59</v>
      </c>
    </row>
    <row r="119" spans="1:27" x14ac:dyDescent="0.25">
      <c r="A119" s="15">
        <v>8</v>
      </c>
      <c r="B119" s="15" t="s">
        <v>62</v>
      </c>
      <c r="D119" s="15">
        <v>8</v>
      </c>
      <c r="E119" s="147" t="s">
        <v>292</v>
      </c>
      <c r="S119" s="145">
        <v>12</v>
      </c>
      <c r="T119" s="15" t="s">
        <v>60</v>
      </c>
    </row>
    <row r="120" spans="1:27" x14ac:dyDescent="0.25">
      <c r="A120" s="15">
        <v>9</v>
      </c>
      <c r="B120" s="15" t="s">
        <v>56</v>
      </c>
      <c r="S120" s="145">
        <v>13</v>
      </c>
      <c r="T120" s="15" t="s">
        <v>114</v>
      </c>
    </row>
    <row r="121" spans="1:27" x14ac:dyDescent="0.25">
      <c r="A121" s="15">
        <v>10</v>
      </c>
      <c r="B121" s="15" t="s">
        <v>57</v>
      </c>
      <c r="E121" s="15" t="s">
        <v>314</v>
      </c>
      <c r="S121" s="145">
        <v>14</v>
      </c>
      <c r="T121" s="15" t="s">
        <v>281</v>
      </c>
    </row>
    <row r="122" spans="1:27" x14ac:dyDescent="0.25">
      <c r="E122" s="15" t="s">
        <v>293</v>
      </c>
      <c r="S122" s="145">
        <v>15</v>
      </c>
    </row>
    <row r="123" spans="1:27" x14ac:dyDescent="0.25">
      <c r="E123" s="15" t="s">
        <v>294</v>
      </c>
      <c r="S123" s="145">
        <v>16</v>
      </c>
      <c r="T123" s="15" t="s">
        <v>236</v>
      </c>
      <c r="AA123" s="49">
        <v>3.8</v>
      </c>
    </row>
    <row r="124" spans="1:27" x14ac:dyDescent="0.25">
      <c r="E124" s="15" t="s">
        <v>295</v>
      </c>
      <c r="S124" s="145">
        <v>17</v>
      </c>
    </row>
    <row r="125" spans="1:27" x14ac:dyDescent="0.25">
      <c r="E125" s="15" t="s">
        <v>296</v>
      </c>
      <c r="S125" s="145">
        <v>18</v>
      </c>
      <c r="T125" s="15" t="s">
        <v>135</v>
      </c>
      <c r="AA125" s="49">
        <v>3.9</v>
      </c>
    </row>
    <row r="126" spans="1:27" x14ac:dyDescent="0.25">
      <c r="E126" s="148" t="s">
        <v>297</v>
      </c>
    </row>
    <row r="127" spans="1:27" x14ac:dyDescent="0.25">
      <c r="E127" s="15" t="s">
        <v>317</v>
      </c>
      <c r="S127" s="145">
        <v>1</v>
      </c>
      <c r="T127" s="15" t="s">
        <v>279</v>
      </c>
    </row>
    <row r="128" spans="1:27" x14ac:dyDescent="0.25">
      <c r="E128" s="15" t="s">
        <v>318</v>
      </c>
      <c r="S128" s="145">
        <v>2</v>
      </c>
      <c r="T128" s="15" t="s">
        <v>280</v>
      </c>
      <c r="Z128" s="144">
        <v>50.599999999999994</v>
      </c>
    </row>
    <row r="129" spans="2:27" ht="21" x14ac:dyDescent="0.35">
      <c r="E129" s="15" t="s">
        <v>319</v>
      </c>
      <c r="F129" s="149"/>
      <c r="G129" s="149"/>
      <c r="H129" s="149"/>
      <c r="I129" s="149"/>
      <c r="S129" s="145">
        <v>3</v>
      </c>
    </row>
    <row r="130" spans="2:27" ht="21" x14ac:dyDescent="0.35">
      <c r="E130" s="15" t="s">
        <v>320</v>
      </c>
      <c r="F130" s="149"/>
      <c r="S130" s="145">
        <v>4</v>
      </c>
      <c r="T130" s="15">
        <v>0</v>
      </c>
      <c r="AA130" s="144">
        <v>0</v>
      </c>
    </row>
    <row r="131" spans="2:27" ht="15.75" thickBot="1" x14ac:dyDescent="0.3">
      <c r="S131" s="145">
        <v>5</v>
      </c>
      <c r="T131" s="15" t="s">
        <v>329</v>
      </c>
    </row>
    <row r="132" spans="2:27" x14ac:dyDescent="0.25">
      <c r="B132" s="150" t="s">
        <v>120</v>
      </c>
      <c r="C132" s="151"/>
      <c r="D132" s="151"/>
      <c r="E132" s="151" t="s">
        <v>121</v>
      </c>
      <c r="F132" s="151"/>
      <c r="G132" s="136"/>
      <c r="H132" s="152" t="s">
        <v>330</v>
      </c>
      <c r="I132" s="136"/>
      <c r="J132" s="136"/>
      <c r="K132" s="151"/>
      <c r="L132" s="151"/>
      <c r="M132" s="153"/>
      <c r="N132" s="15" t="s">
        <v>63</v>
      </c>
      <c r="S132" s="145">
        <v>6</v>
      </c>
      <c r="T132" s="15" t="s">
        <v>282</v>
      </c>
    </row>
    <row r="133" spans="2:27" x14ac:dyDescent="0.25">
      <c r="B133" s="154">
        <v>36.9</v>
      </c>
      <c r="C133" s="143"/>
      <c r="D133" s="143"/>
      <c r="E133" s="154">
        <v>6</v>
      </c>
      <c r="F133" s="143"/>
      <c r="G133" s="15" t="s">
        <v>331</v>
      </c>
      <c r="H133" s="49">
        <v>5</v>
      </c>
      <c r="K133" s="143"/>
      <c r="L133" s="143"/>
      <c r="M133" s="155"/>
      <c r="S133" s="145">
        <v>7</v>
      </c>
    </row>
    <row r="134" spans="2:27" ht="15.75" thickBot="1" x14ac:dyDescent="0.3">
      <c r="B134" s="140" t="s">
        <v>143</v>
      </c>
      <c r="C134" s="141"/>
      <c r="D134" s="141"/>
      <c r="E134" s="141" t="s">
        <v>144</v>
      </c>
      <c r="F134" s="141"/>
      <c r="G134" s="141"/>
      <c r="H134" s="141"/>
      <c r="I134" s="141"/>
      <c r="J134" s="141"/>
      <c r="K134" s="141"/>
      <c r="L134" s="141"/>
      <c r="M134" s="142"/>
      <c r="S134" s="145">
        <v>8</v>
      </c>
      <c r="T134" s="49" t="s">
        <v>239</v>
      </c>
      <c r="AA134" s="49">
        <v>6</v>
      </c>
    </row>
    <row r="135" spans="2:27" x14ac:dyDescent="0.25">
      <c r="S135" s="145">
        <v>9</v>
      </c>
      <c r="T135" s="49" t="s">
        <v>52</v>
      </c>
    </row>
    <row r="136" spans="2:27" x14ac:dyDescent="0.25">
      <c r="S136" s="145">
        <v>10</v>
      </c>
      <c r="T136" s="15" t="s">
        <v>56</v>
      </c>
      <c r="AA136" s="49">
        <v>36.9</v>
      </c>
    </row>
    <row r="137" spans="2:27" x14ac:dyDescent="0.25">
      <c r="B137" s="15" t="s">
        <v>237</v>
      </c>
      <c r="M137" s="146">
        <v>0</v>
      </c>
      <c r="S137" s="145">
        <v>11</v>
      </c>
      <c r="T137" s="15" t="s">
        <v>59</v>
      </c>
    </row>
    <row r="138" spans="2:27" x14ac:dyDescent="0.25">
      <c r="S138" s="145">
        <v>12</v>
      </c>
      <c r="T138" s="15" t="s">
        <v>60</v>
      </c>
    </row>
    <row r="139" spans="2:27" x14ac:dyDescent="0.25">
      <c r="B139" s="15" t="s">
        <v>236</v>
      </c>
      <c r="M139" s="146">
        <v>3.8</v>
      </c>
      <c r="S139" s="145">
        <v>13</v>
      </c>
      <c r="T139" s="15" t="s">
        <v>114</v>
      </c>
    </row>
    <row r="140" spans="2:27" x14ac:dyDescent="0.25">
      <c r="B140" s="15" t="s">
        <v>298</v>
      </c>
      <c r="M140" s="146">
        <v>8</v>
      </c>
      <c r="S140" s="145">
        <v>14</v>
      </c>
      <c r="T140" s="15" t="s">
        <v>281</v>
      </c>
    </row>
    <row r="141" spans="2:27" x14ac:dyDescent="0.25">
      <c r="S141" s="145">
        <v>15</v>
      </c>
    </row>
    <row r="142" spans="2:27" x14ac:dyDescent="0.25">
      <c r="S142" s="145">
        <v>16</v>
      </c>
      <c r="T142" s="15" t="s">
        <v>236</v>
      </c>
      <c r="AA142" s="49">
        <v>3.8</v>
      </c>
    </row>
    <row r="143" spans="2:27" x14ac:dyDescent="0.25">
      <c r="B143" s="15" t="s">
        <v>332</v>
      </c>
      <c r="I143" s="49">
        <v>1</v>
      </c>
      <c r="S143" s="145">
        <v>17</v>
      </c>
    </row>
    <row r="144" spans="2:27" x14ac:dyDescent="0.25">
      <c r="I144" s="49"/>
      <c r="S144" s="145">
        <v>18</v>
      </c>
      <c r="T144" s="15" t="s">
        <v>135</v>
      </c>
      <c r="AA144" s="49">
        <v>3.9</v>
      </c>
    </row>
    <row r="145" spans="2:27" x14ac:dyDescent="0.25">
      <c r="B145" s="15" t="s">
        <v>134</v>
      </c>
      <c r="I145" s="49"/>
      <c r="L145" s="156"/>
      <c r="M145" s="156"/>
      <c r="N145" s="156"/>
      <c r="O145" s="156"/>
      <c r="P145" s="156"/>
      <c r="Q145" s="156"/>
      <c r="R145" s="156"/>
    </row>
    <row r="146" spans="2:27" x14ac:dyDescent="0.25">
      <c r="B146" s="15" t="s">
        <v>240</v>
      </c>
      <c r="I146" s="49">
        <v>6</v>
      </c>
      <c r="K146" s="15" t="s">
        <v>241</v>
      </c>
      <c r="L146" s="156"/>
      <c r="M146" s="156"/>
    </row>
    <row r="147" spans="2:27" x14ac:dyDescent="0.25">
      <c r="B147" s="15" t="s">
        <v>386</v>
      </c>
      <c r="I147" s="49">
        <v>4</v>
      </c>
      <c r="K147" s="15" t="s">
        <v>387</v>
      </c>
      <c r="L147" s="15" t="s">
        <v>307</v>
      </c>
      <c r="M147" s="15" t="s">
        <v>308</v>
      </c>
      <c r="N147" s="15" t="s">
        <v>309</v>
      </c>
      <c r="S147" s="145">
        <v>1</v>
      </c>
      <c r="T147" s="15" t="s">
        <v>279</v>
      </c>
    </row>
    <row r="148" spans="2:27" x14ac:dyDescent="0.25">
      <c r="B148" s="15" t="s">
        <v>312</v>
      </c>
      <c r="I148" s="49">
        <v>4</v>
      </c>
      <c r="K148" s="15" t="s">
        <v>299</v>
      </c>
      <c r="S148" s="145">
        <v>2</v>
      </c>
      <c r="T148" s="15" t="s">
        <v>280</v>
      </c>
      <c r="Z148" s="144">
        <v>51.599999999999994</v>
      </c>
    </row>
    <row r="149" spans="2:27" x14ac:dyDescent="0.25">
      <c r="B149" s="15" t="s">
        <v>66</v>
      </c>
      <c r="I149" s="49">
        <v>4</v>
      </c>
      <c r="K149" s="15" t="s">
        <v>129</v>
      </c>
      <c r="S149" s="145">
        <v>3</v>
      </c>
    </row>
    <row r="150" spans="2:27" x14ac:dyDescent="0.25">
      <c r="B150" s="15" t="s">
        <v>313</v>
      </c>
      <c r="I150" s="49">
        <v>4</v>
      </c>
      <c r="K150" s="15" t="s">
        <v>300</v>
      </c>
      <c r="S150" s="145">
        <v>4</v>
      </c>
      <c r="T150" s="15" t="s">
        <v>78</v>
      </c>
      <c r="V150" s="15" t="s">
        <v>80</v>
      </c>
      <c r="AA150" s="144">
        <v>6</v>
      </c>
    </row>
    <row r="151" spans="2:27" x14ac:dyDescent="0.25">
      <c r="B151" s="15" t="s">
        <v>65</v>
      </c>
      <c r="I151" s="49">
        <v>6</v>
      </c>
      <c r="K151" s="15" t="s">
        <v>128</v>
      </c>
      <c r="S151" s="145">
        <v>5</v>
      </c>
      <c r="T151" s="15" t="s">
        <v>33</v>
      </c>
    </row>
    <row r="152" spans="2:27" x14ac:dyDescent="0.25">
      <c r="B152" s="15" t="s">
        <v>242</v>
      </c>
      <c r="I152" s="49">
        <v>6</v>
      </c>
      <c r="K152" s="15" t="s">
        <v>130</v>
      </c>
      <c r="S152" s="145">
        <v>6</v>
      </c>
    </row>
    <row r="153" spans="2:27" x14ac:dyDescent="0.25">
      <c r="B153" s="15" t="s">
        <v>243</v>
      </c>
      <c r="I153" s="49">
        <v>6</v>
      </c>
      <c r="K153" s="15" t="s">
        <v>244</v>
      </c>
      <c r="S153" s="145">
        <v>7</v>
      </c>
    </row>
    <row r="154" spans="2:27" x14ac:dyDescent="0.25">
      <c r="B154" s="15" t="s">
        <v>245</v>
      </c>
      <c r="I154" s="49">
        <v>6</v>
      </c>
      <c r="K154" s="15" t="s">
        <v>131</v>
      </c>
      <c r="S154" s="145">
        <v>8</v>
      </c>
      <c r="T154" s="15" t="s">
        <v>56</v>
      </c>
      <c r="AA154" s="49">
        <v>36.9</v>
      </c>
    </row>
    <row r="155" spans="2:27" x14ac:dyDescent="0.25">
      <c r="B155" s="15" t="s">
        <v>246</v>
      </c>
      <c r="I155" s="49">
        <v>4</v>
      </c>
      <c r="K155" s="15" t="s">
        <v>426</v>
      </c>
      <c r="S155" s="145">
        <v>9</v>
      </c>
      <c r="T155" s="15" t="s">
        <v>57</v>
      </c>
    </row>
    <row r="156" spans="2:27" x14ac:dyDescent="0.25">
      <c r="B156" s="15" t="s">
        <v>247</v>
      </c>
      <c r="I156" s="49">
        <v>4</v>
      </c>
      <c r="K156" s="15" t="s">
        <v>132</v>
      </c>
      <c r="S156" s="145">
        <v>10</v>
      </c>
      <c r="T156" s="15" t="s">
        <v>58</v>
      </c>
    </row>
    <row r="157" spans="2:27" x14ac:dyDescent="0.25">
      <c r="B157" s="15" t="s">
        <v>248</v>
      </c>
      <c r="I157" s="49">
        <v>6</v>
      </c>
      <c r="K157" s="15" t="s">
        <v>249</v>
      </c>
      <c r="S157" s="145">
        <v>11</v>
      </c>
      <c r="T157" s="15" t="s">
        <v>59</v>
      </c>
    </row>
    <row r="158" spans="2:27" x14ac:dyDescent="0.25">
      <c r="B158" s="15" t="s">
        <v>67</v>
      </c>
      <c r="I158" s="49">
        <v>4</v>
      </c>
      <c r="K158" s="15" t="s">
        <v>133</v>
      </c>
      <c r="S158" s="145">
        <v>12</v>
      </c>
      <c r="T158" s="15" t="s">
        <v>60</v>
      </c>
    </row>
    <row r="159" spans="2:27" x14ac:dyDescent="0.25">
      <c r="I159" s="49"/>
      <c r="L159" s="156"/>
      <c r="M159" s="156"/>
      <c r="N159" s="156"/>
      <c r="O159" s="156"/>
      <c r="S159" s="145">
        <v>13</v>
      </c>
      <c r="T159" s="15" t="s">
        <v>117</v>
      </c>
      <c r="AA159" s="49">
        <v>1</v>
      </c>
    </row>
    <row r="160" spans="2:27" x14ac:dyDescent="0.25">
      <c r="B160" s="15" t="s">
        <v>304</v>
      </c>
      <c r="I160" s="49">
        <v>11</v>
      </c>
      <c r="K160" s="15" t="s">
        <v>301</v>
      </c>
      <c r="L160" s="15" t="s">
        <v>302</v>
      </c>
      <c r="M160" s="15" t="s">
        <v>64</v>
      </c>
      <c r="P160" s="15" t="s">
        <v>231</v>
      </c>
      <c r="S160" s="145">
        <v>14</v>
      </c>
      <c r="T160" s="15" t="s">
        <v>281</v>
      </c>
    </row>
    <row r="161" spans="1:27" x14ac:dyDescent="0.25">
      <c r="B161" s="15" t="s">
        <v>306</v>
      </c>
      <c r="I161" s="49">
        <v>14.5</v>
      </c>
      <c r="K161" s="15" t="s">
        <v>301</v>
      </c>
      <c r="L161" s="15" t="s">
        <v>302</v>
      </c>
      <c r="M161" s="15" t="s">
        <v>64</v>
      </c>
      <c r="N161" s="157" t="s">
        <v>321</v>
      </c>
      <c r="P161" s="15" t="s">
        <v>231</v>
      </c>
      <c r="S161" s="145">
        <v>15</v>
      </c>
    </row>
    <row r="162" spans="1:27" x14ac:dyDescent="0.25">
      <c r="B162" s="15" t="s">
        <v>315</v>
      </c>
      <c r="I162" s="49">
        <v>18</v>
      </c>
      <c r="K162" s="15" t="s">
        <v>301</v>
      </c>
      <c r="L162" s="15" t="s">
        <v>302</v>
      </c>
      <c r="M162" s="15" t="s">
        <v>64</v>
      </c>
      <c r="N162" s="15" t="s">
        <v>321</v>
      </c>
      <c r="O162" s="157" t="s">
        <v>322</v>
      </c>
      <c r="P162" s="15" t="s">
        <v>231</v>
      </c>
      <c r="S162" s="145">
        <v>16</v>
      </c>
      <c r="T162" s="15" t="s">
        <v>236</v>
      </c>
      <c r="AA162" s="49">
        <v>3.8</v>
      </c>
    </row>
    <row r="163" spans="1:27" x14ac:dyDescent="0.25">
      <c r="S163" s="145">
        <v>17</v>
      </c>
    </row>
    <row r="164" spans="1:27" x14ac:dyDescent="0.25">
      <c r="S164" s="145">
        <v>18</v>
      </c>
      <c r="T164" s="15" t="s">
        <v>135</v>
      </c>
      <c r="AA164" s="49">
        <v>3.9</v>
      </c>
    </row>
    <row r="165" spans="1:27" x14ac:dyDescent="0.25">
      <c r="S165" s="145"/>
      <c r="Z165" s="144"/>
    </row>
    <row r="166" spans="1:27" x14ac:dyDescent="0.25">
      <c r="S166" s="145">
        <v>1</v>
      </c>
      <c r="T166" s="15" t="s">
        <v>279</v>
      </c>
    </row>
    <row r="167" spans="1:27" x14ac:dyDescent="0.25">
      <c r="S167" s="145">
        <v>2</v>
      </c>
      <c r="T167" s="15" t="s">
        <v>280</v>
      </c>
      <c r="Z167" s="144">
        <v>57.599999999999994</v>
      </c>
    </row>
    <row r="168" spans="1:27" x14ac:dyDescent="0.25">
      <c r="S168" s="145">
        <v>3</v>
      </c>
    </row>
    <row r="169" spans="1:27" x14ac:dyDescent="0.25">
      <c r="B169" s="15" t="s">
        <v>137</v>
      </c>
      <c r="S169" s="145">
        <v>4</v>
      </c>
      <c r="T169" s="15" t="s">
        <v>79</v>
      </c>
      <c r="W169" s="15" t="s">
        <v>80</v>
      </c>
      <c r="AA169" s="144">
        <v>12</v>
      </c>
    </row>
    <row r="170" spans="1:27" x14ac:dyDescent="0.25">
      <c r="B170" s="15" t="s">
        <v>31</v>
      </c>
      <c r="H170" s="15" t="s">
        <v>37</v>
      </c>
      <c r="I170" s="146">
        <v>2.9</v>
      </c>
      <c r="S170" s="145">
        <v>5</v>
      </c>
      <c r="T170" s="15" t="s">
        <v>33</v>
      </c>
    </row>
    <row r="171" spans="1:27" x14ac:dyDescent="0.25">
      <c r="B171" s="15" t="s">
        <v>135</v>
      </c>
      <c r="H171" s="15" t="s">
        <v>37</v>
      </c>
      <c r="I171" s="146">
        <v>3.9</v>
      </c>
      <c r="S171" s="145">
        <v>6</v>
      </c>
    </row>
    <row r="172" spans="1:27" x14ac:dyDescent="0.25">
      <c r="B172" s="15" t="s">
        <v>136</v>
      </c>
      <c r="H172" s="15" t="s">
        <v>37</v>
      </c>
      <c r="I172" s="146">
        <v>4.4000000000000004</v>
      </c>
      <c r="S172" s="145">
        <v>7</v>
      </c>
    </row>
    <row r="173" spans="1:27" x14ac:dyDescent="0.25">
      <c r="S173" s="145">
        <v>8</v>
      </c>
      <c r="T173" s="15" t="s">
        <v>56</v>
      </c>
      <c r="AA173" s="49">
        <v>36.9</v>
      </c>
    </row>
    <row r="174" spans="1:27" x14ac:dyDescent="0.25">
      <c r="S174" s="145">
        <v>9</v>
      </c>
      <c r="T174" s="15" t="s">
        <v>57</v>
      </c>
    </row>
    <row r="175" spans="1:27" x14ac:dyDescent="0.25">
      <c r="S175" s="145">
        <v>10</v>
      </c>
      <c r="T175" s="15" t="s">
        <v>58</v>
      </c>
    </row>
    <row r="176" spans="1:27" ht="15.75" x14ac:dyDescent="0.25">
      <c r="A176" s="158" t="s">
        <v>157</v>
      </c>
      <c r="B176" s="158"/>
      <c r="C176" s="158"/>
      <c r="D176" s="158"/>
      <c r="E176" s="158"/>
      <c r="F176" s="158"/>
      <c r="G176" s="158"/>
      <c r="H176" s="49"/>
      <c r="I176" s="49"/>
      <c r="P176" s="15" t="s">
        <v>177</v>
      </c>
      <c r="S176" s="145">
        <v>11</v>
      </c>
      <c r="T176" s="15" t="s">
        <v>59</v>
      </c>
    </row>
    <row r="177" spans="1:27" ht="15.75" x14ac:dyDescent="0.25">
      <c r="A177" s="158" t="s">
        <v>158</v>
      </c>
      <c r="B177" s="158"/>
      <c r="C177" s="158"/>
      <c r="D177" s="158"/>
      <c r="E177" s="158"/>
      <c r="F177" s="158"/>
      <c r="G177" s="158"/>
      <c r="H177" s="49"/>
      <c r="I177" s="49"/>
      <c r="P177" s="15" t="s">
        <v>178</v>
      </c>
      <c r="S177" s="145">
        <v>12</v>
      </c>
      <c r="T177" s="15" t="s">
        <v>60</v>
      </c>
    </row>
    <row r="178" spans="1:27" ht="15.75" x14ac:dyDescent="0.25">
      <c r="A178" s="158" t="s">
        <v>159</v>
      </c>
      <c r="C178" s="158"/>
      <c r="D178" s="158"/>
      <c r="E178" s="158"/>
      <c r="F178" s="158"/>
      <c r="G178" s="158"/>
      <c r="H178" s="49"/>
      <c r="I178" s="49"/>
      <c r="O178" s="146">
        <v>18.2</v>
      </c>
      <c r="P178" s="146">
        <v>18.2</v>
      </c>
      <c r="S178" s="145">
        <v>13</v>
      </c>
      <c r="T178" s="15" t="s">
        <v>117</v>
      </c>
      <c r="AA178" s="49">
        <v>1</v>
      </c>
    </row>
    <row r="179" spans="1:27" ht="15.75" x14ac:dyDescent="0.25">
      <c r="A179" s="158" t="s">
        <v>160</v>
      </c>
      <c r="B179" s="158"/>
      <c r="C179" s="158"/>
      <c r="D179" s="158"/>
      <c r="E179" s="158"/>
      <c r="F179" s="158"/>
      <c r="G179" s="158"/>
      <c r="H179" s="49"/>
      <c r="I179" s="49"/>
      <c r="S179" s="145">
        <v>14</v>
      </c>
      <c r="T179" s="15" t="s">
        <v>281</v>
      </c>
    </row>
    <row r="180" spans="1:27" ht="15.75" x14ac:dyDescent="0.25">
      <c r="A180" s="158" t="s">
        <v>161</v>
      </c>
      <c r="B180" s="158"/>
      <c r="C180" s="158"/>
      <c r="D180" s="158"/>
      <c r="E180" s="158"/>
      <c r="F180" s="158"/>
      <c r="G180" s="158"/>
      <c r="S180" s="145">
        <v>15</v>
      </c>
    </row>
    <row r="181" spans="1:27" ht="15.75" x14ac:dyDescent="0.25">
      <c r="A181" s="158"/>
      <c r="B181" s="158"/>
      <c r="C181" s="158"/>
      <c r="D181" s="158"/>
      <c r="E181" s="158"/>
      <c r="F181" s="158"/>
      <c r="G181" s="158"/>
      <c r="S181" s="145">
        <v>16</v>
      </c>
      <c r="T181" s="15" t="s">
        <v>236</v>
      </c>
      <c r="AA181" s="49">
        <v>3.8</v>
      </c>
    </row>
    <row r="182" spans="1:27" ht="15.75" x14ac:dyDescent="0.25">
      <c r="A182" s="158" t="s">
        <v>310</v>
      </c>
      <c r="C182" s="158"/>
      <c r="D182" s="158"/>
      <c r="E182" s="158"/>
      <c r="F182" s="158"/>
      <c r="G182" s="158"/>
      <c r="P182" s="146" t="s">
        <v>271</v>
      </c>
      <c r="S182" s="145">
        <v>17</v>
      </c>
    </row>
    <row r="183" spans="1:27" ht="15.75" x14ac:dyDescent="0.25">
      <c r="A183" s="158" t="s">
        <v>311</v>
      </c>
      <c r="B183" s="158"/>
      <c r="C183" s="158"/>
      <c r="D183" s="158"/>
      <c r="E183" s="158"/>
      <c r="F183" s="158"/>
      <c r="G183" s="158"/>
      <c r="S183" s="145">
        <v>18</v>
      </c>
      <c r="T183" s="15" t="s">
        <v>135</v>
      </c>
      <c r="AA183" s="49">
        <v>3.9</v>
      </c>
    </row>
    <row r="184" spans="1:27" ht="15.75" x14ac:dyDescent="0.25">
      <c r="A184" s="158"/>
      <c r="B184" s="158"/>
      <c r="C184" s="158"/>
      <c r="D184" s="158"/>
      <c r="E184" s="158"/>
      <c r="F184" s="158"/>
      <c r="G184" s="158"/>
    </row>
    <row r="185" spans="1:27" ht="15.75" x14ac:dyDescent="0.25">
      <c r="B185" s="158"/>
      <c r="C185" s="158"/>
      <c r="D185" s="158"/>
      <c r="E185" s="158"/>
      <c r="F185" s="158"/>
      <c r="G185" s="158"/>
      <c r="S185" s="145">
        <v>1</v>
      </c>
      <c r="T185" s="15" t="s">
        <v>279</v>
      </c>
    </row>
    <row r="186" spans="1:27" ht="15.75" x14ac:dyDescent="0.25">
      <c r="A186" s="158" t="s">
        <v>162</v>
      </c>
      <c r="S186" s="145">
        <v>2</v>
      </c>
      <c r="T186" s="15" t="s">
        <v>280</v>
      </c>
      <c r="Z186" s="144">
        <v>45.599999999999994</v>
      </c>
    </row>
    <row r="187" spans="1:27" x14ac:dyDescent="0.25">
      <c r="S187" s="145">
        <v>3</v>
      </c>
    </row>
    <row r="188" spans="1:27" ht="15.75" x14ac:dyDescent="0.25">
      <c r="A188" s="159" t="s">
        <v>163</v>
      </c>
      <c r="B188" s="158"/>
      <c r="S188" s="145">
        <v>4</v>
      </c>
      <c r="T188" s="15">
        <v>0</v>
      </c>
      <c r="AA188" s="144">
        <v>0</v>
      </c>
    </row>
    <row r="189" spans="1:27" ht="15.75" x14ac:dyDescent="0.25">
      <c r="A189" s="158"/>
      <c r="B189" s="158"/>
      <c r="S189" s="145">
        <v>5</v>
      </c>
      <c r="T189" s="15" t="s">
        <v>329</v>
      </c>
    </row>
    <row r="190" spans="1:27" ht="15.75" x14ac:dyDescent="0.25">
      <c r="A190" s="158" t="s">
        <v>164</v>
      </c>
      <c r="B190" s="158"/>
      <c r="S190" s="145">
        <v>6</v>
      </c>
      <c r="T190" s="15" t="s">
        <v>282</v>
      </c>
    </row>
    <row r="191" spans="1:27" ht="15.75" x14ac:dyDescent="0.25">
      <c r="A191" s="158" t="s">
        <v>165</v>
      </c>
      <c r="B191" s="158"/>
      <c r="S191" s="145">
        <v>7</v>
      </c>
    </row>
    <row r="192" spans="1:27" ht="15.75" x14ac:dyDescent="0.25">
      <c r="A192" s="158" t="s">
        <v>166</v>
      </c>
      <c r="B192" s="158"/>
      <c r="S192" s="145">
        <v>8</v>
      </c>
      <c r="T192" s="15" t="s">
        <v>56</v>
      </c>
      <c r="AA192" s="49">
        <v>36.9</v>
      </c>
    </row>
    <row r="193" spans="1:27" ht="15.75" x14ac:dyDescent="0.25">
      <c r="A193" s="158"/>
      <c r="B193" s="158"/>
      <c r="S193" s="145">
        <v>9</v>
      </c>
      <c r="T193" s="15" t="s">
        <v>57</v>
      </c>
    </row>
    <row r="194" spans="1:27" x14ac:dyDescent="0.25">
      <c r="S194" s="145">
        <v>10</v>
      </c>
      <c r="T194" s="15" t="s">
        <v>58</v>
      </c>
    </row>
    <row r="195" spans="1:27" x14ac:dyDescent="0.25">
      <c r="S195" s="145">
        <v>11</v>
      </c>
      <c r="T195" s="15" t="s">
        <v>59</v>
      </c>
    </row>
    <row r="196" spans="1:27" x14ac:dyDescent="0.25">
      <c r="S196" s="145">
        <v>12</v>
      </c>
      <c r="T196" s="15" t="s">
        <v>60</v>
      </c>
    </row>
    <row r="197" spans="1:27" ht="15.75" x14ac:dyDescent="0.25">
      <c r="A197" s="159" t="s">
        <v>167</v>
      </c>
      <c r="S197" s="145">
        <v>13</v>
      </c>
      <c r="T197" s="15" t="s">
        <v>117</v>
      </c>
      <c r="AA197" s="49">
        <v>1</v>
      </c>
    </row>
    <row r="198" spans="1:27" ht="15.75" x14ac:dyDescent="0.25">
      <c r="A198" s="158"/>
      <c r="S198" s="145">
        <v>14</v>
      </c>
      <c r="T198" s="15" t="s">
        <v>281</v>
      </c>
    </row>
    <row r="199" spans="1:27" ht="15.75" x14ac:dyDescent="0.25">
      <c r="A199" s="158" t="s">
        <v>168</v>
      </c>
      <c r="S199" s="145">
        <v>15</v>
      </c>
    </row>
    <row r="200" spans="1:27" ht="15.75" x14ac:dyDescent="0.25">
      <c r="A200" s="158" t="s">
        <v>169</v>
      </c>
      <c r="S200" s="145">
        <v>16</v>
      </c>
      <c r="T200" s="15" t="s">
        <v>236</v>
      </c>
      <c r="AA200" s="49">
        <v>3.8</v>
      </c>
    </row>
    <row r="201" spans="1:27" ht="15.75" x14ac:dyDescent="0.25">
      <c r="A201" s="158"/>
      <c r="S201" s="145">
        <v>17</v>
      </c>
    </row>
    <row r="202" spans="1:27" ht="15.75" x14ac:dyDescent="0.25">
      <c r="A202" s="159" t="s">
        <v>170</v>
      </c>
      <c r="S202" s="145">
        <v>18</v>
      </c>
      <c r="T202" s="15" t="s">
        <v>135</v>
      </c>
      <c r="AA202" s="49">
        <v>3.9</v>
      </c>
    </row>
    <row r="204" spans="1:27" x14ac:dyDescent="0.25">
      <c r="A204" s="15" t="s">
        <v>171</v>
      </c>
    </row>
    <row r="205" spans="1:27" x14ac:dyDescent="0.25">
      <c r="A205" s="15" t="s">
        <v>154</v>
      </c>
      <c r="S205" s="145">
        <v>1</v>
      </c>
      <c r="T205" s="15" t="s">
        <v>279</v>
      </c>
    </row>
    <row r="206" spans="1:27" x14ac:dyDescent="0.25">
      <c r="S206" s="145">
        <v>2</v>
      </c>
      <c r="T206" s="15" t="s">
        <v>280</v>
      </c>
      <c r="Z206" s="144">
        <v>57.599999999999994</v>
      </c>
    </row>
    <row r="207" spans="1:27" x14ac:dyDescent="0.25">
      <c r="S207" s="145">
        <v>3</v>
      </c>
    </row>
    <row r="208" spans="1:27" x14ac:dyDescent="0.25">
      <c r="S208" s="145">
        <v>4</v>
      </c>
      <c r="T208" s="15" t="s">
        <v>78</v>
      </c>
      <c r="V208" s="15" t="s">
        <v>80</v>
      </c>
      <c r="AA208" s="144">
        <v>6</v>
      </c>
    </row>
    <row r="209" spans="1:27" x14ac:dyDescent="0.25">
      <c r="S209" s="145">
        <v>5</v>
      </c>
      <c r="T209" s="15" t="s">
        <v>33</v>
      </c>
    </row>
    <row r="210" spans="1:27" x14ac:dyDescent="0.25">
      <c r="S210" s="145">
        <v>6</v>
      </c>
    </row>
    <row r="211" spans="1:27" x14ac:dyDescent="0.25">
      <c r="S211" s="145">
        <v>7</v>
      </c>
    </row>
    <row r="212" spans="1:27" x14ac:dyDescent="0.25">
      <c r="S212" s="145">
        <v>8</v>
      </c>
      <c r="T212" s="49" t="s">
        <v>239</v>
      </c>
      <c r="AA212" s="49">
        <v>6</v>
      </c>
    </row>
    <row r="213" spans="1:27" x14ac:dyDescent="0.25">
      <c r="S213" s="145">
        <v>9</v>
      </c>
      <c r="T213" s="49" t="s">
        <v>52</v>
      </c>
    </row>
    <row r="214" spans="1:27" x14ac:dyDescent="0.25">
      <c r="S214" s="145">
        <v>10</v>
      </c>
      <c r="T214" s="15" t="s">
        <v>56</v>
      </c>
      <c r="AA214" s="49">
        <v>36.9</v>
      </c>
    </row>
    <row r="215" spans="1:27" x14ac:dyDescent="0.25">
      <c r="S215" s="145">
        <v>11</v>
      </c>
      <c r="T215" s="15" t="s">
        <v>59</v>
      </c>
    </row>
    <row r="216" spans="1:27" x14ac:dyDescent="0.25">
      <c r="S216" s="145">
        <v>12</v>
      </c>
      <c r="T216" s="15" t="s">
        <v>60</v>
      </c>
    </row>
    <row r="217" spans="1:27" x14ac:dyDescent="0.25">
      <c r="S217" s="145">
        <v>13</v>
      </c>
      <c r="T217" s="15" t="s">
        <v>117</v>
      </c>
      <c r="AA217" s="49">
        <v>1</v>
      </c>
    </row>
    <row r="218" spans="1:27" x14ac:dyDescent="0.25">
      <c r="S218" s="145">
        <v>14</v>
      </c>
      <c r="T218" s="15" t="s">
        <v>281</v>
      </c>
    </row>
    <row r="219" spans="1:27" x14ac:dyDescent="0.25">
      <c r="S219" s="145">
        <v>15</v>
      </c>
    </row>
    <row r="220" spans="1:27" x14ac:dyDescent="0.25">
      <c r="S220" s="145">
        <v>16</v>
      </c>
      <c r="T220" s="15" t="s">
        <v>236</v>
      </c>
      <c r="AA220" s="49">
        <v>3.8</v>
      </c>
    </row>
    <row r="221" spans="1:27" x14ac:dyDescent="0.25">
      <c r="S221" s="145">
        <v>17</v>
      </c>
    </row>
    <row r="222" spans="1:27" x14ac:dyDescent="0.25">
      <c r="A222" s="49" t="s">
        <v>397</v>
      </c>
      <c r="B222" s="49"/>
      <c r="C222" s="49"/>
      <c r="D222" s="49"/>
      <c r="E222" s="49"/>
      <c r="F222" s="49">
        <v>750</v>
      </c>
      <c r="G222" s="49"/>
      <c r="H222" s="49"/>
      <c r="I222" s="49"/>
      <c r="J222" s="49"/>
      <c r="S222" s="145">
        <v>18</v>
      </c>
      <c r="T222" s="15" t="s">
        <v>135</v>
      </c>
      <c r="AA222" s="49">
        <v>3.9</v>
      </c>
    </row>
    <row r="223" spans="1:27" x14ac:dyDescent="0.25">
      <c r="S223" s="145"/>
      <c r="Z223" s="144"/>
    </row>
    <row r="224" spans="1:27" x14ac:dyDescent="0.25">
      <c r="S224" s="145">
        <v>1</v>
      </c>
      <c r="T224" s="15" t="s">
        <v>279</v>
      </c>
    </row>
    <row r="225" spans="19:27" x14ac:dyDescent="0.25">
      <c r="S225" s="145">
        <v>2</v>
      </c>
      <c r="T225" s="15" t="s">
        <v>280</v>
      </c>
      <c r="Z225" s="144">
        <v>63.599999999999994</v>
      </c>
    </row>
    <row r="226" spans="19:27" x14ac:dyDescent="0.25">
      <c r="S226" s="145">
        <v>3</v>
      </c>
    </row>
    <row r="227" spans="19:27" x14ac:dyDescent="0.25">
      <c r="S227" s="145">
        <v>4</v>
      </c>
      <c r="T227" s="15" t="s">
        <v>79</v>
      </c>
      <c r="W227" s="15" t="s">
        <v>80</v>
      </c>
      <c r="AA227" s="144">
        <v>12</v>
      </c>
    </row>
    <row r="228" spans="19:27" x14ac:dyDescent="0.25">
      <c r="S228" s="145">
        <v>5</v>
      </c>
      <c r="T228" s="15" t="s">
        <v>33</v>
      </c>
    </row>
    <row r="229" spans="19:27" x14ac:dyDescent="0.25">
      <c r="S229" s="145">
        <v>6</v>
      </c>
    </row>
    <row r="230" spans="19:27" x14ac:dyDescent="0.25">
      <c r="S230" s="145">
        <v>7</v>
      </c>
    </row>
    <row r="231" spans="19:27" x14ac:dyDescent="0.25">
      <c r="S231" s="145">
        <v>8</v>
      </c>
      <c r="T231" s="49" t="s">
        <v>239</v>
      </c>
      <c r="AA231" s="49">
        <v>6</v>
      </c>
    </row>
    <row r="232" spans="19:27" x14ac:dyDescent="0.25">
      <c r="S232" s="145">
        <v>9</v>
      </c>
      <c r="T232" s="49" t="s">
        <v>52</v>
      </c>
    </row>
    <row r="233" spans="19:27" x14ac:dyDescent="0.25">
      <c r="S233" s="145">
        <v>10</v>
      </c>
      <c r="T233" s="15" t="s">
        <v>56</v>
      </c>
      <c r="AA233" s="49">
        <v>36.9</v>
      </c>
    </row>
    <row r="234" spans="19:27" x14ac:dyDescent="0.25">
      <c r="S234" s="145">
        <v>11</v>
      </c>
      <c r="T234" s="15" t="s">
        <v>59</v>
      </c>
    </row>
    <row r="235" spans="19:27" x14ac:dyDescent="0.25">
      <c r="S235" s="145">
        <v>12</v>
      </c>
      <c r="T235" s="15" t="s">
        <v>60</v>
      </c>
    </row>
    <row r="236" spans="19:27" x14ac:dyDescent="0.25">
      <c r="S236" s="145">
        <v>13</v>
      </c>
      <c r="T236" s="15" t="s">
        <v>117</v>
      </c>
      <c r="AA236" s="49">
        <v>1</v>
      </c>
    </row>
    <row r="237" spans="19:27" x14ac:dyDescent="0.25">
      <c r="S237" s="145">
        <v>14</v>
      </c>
      <c r="T237" s="15" t="s">
        <v>281</v>
      </c>
    </row>
    <row r="238" spans="19:27" x14ac:dyDescent="0.25">
      <c r="S238" s="145">
        <v>15</v>
      </c>
    </row>
    <row r="239" spans="19:27" x14ac:dyDescent="0.25">
      <c r="S239" s="145">
        <v>16</v>
      </c>
      <c r="T239" s="15" t="s">
        <v>236</v>
      </c>
      <c r="AA239" s="49">
        <v>3.8</v>
      </c>
    </row>
    <row r="240" spans="19:27" x14ac:dyDescent="0.25">
      <c r="S240" s="145">
        <v>17</v>
      </c>
    </row>
    <row r="241" spans="19:27" x14ac:dyDescent="0.25">
      <c r="S241" s="145">
        <v>18</v>
      </c>
      <c r="T241" s="15" t="s">
        <v>135</v>
      </c>
      <c r="AA241" s="49">
        <v>3.9</v>
      </c>
    </row>
    <row r="243" spans="19:27" x14ac:dyDescent="0.25">
      <c r="S243" s="145">
        <v>1</v>
      </c>
      <c r="T243" s="15" t="s">
        <v>279</v>
      </c>
    </row>
    <row r="244" spans="19:27" x14ac:dyDescent="0.25">
      <c r="S244" s="145">
        <v>2</v>
      </c>
      <c r="T244" s="15" t="s">
        <v>280</v>
      </c>
      <c r="Z244" s="144">
        <v>51.599999999999994</v>
      </c>
    </row>
    <row r="245" spans="19:27" x14ac:dyDescent="0.25">
      <c r="S245" s="145">
        <v>3</v>
      </c>
    </row>
    <row r="246" spans="19:27" x14ac:dyDescent="0.25">
      <c r="S246" s="145">
        <v>4</v>
      </c>
      <c r="T246" s="15">
        <v>0</v>
      </c>
      <c r="AA246" s="144">
        <v>0</v>
      </c>
    </row>
    <row r="247" spans="19:27" x14ac:dyDescent="0.25">
      <c r="S247" s="145">
        <v>5</v>
      </c>
      <c r="T247" s="15" t="s">
        <v>329</v>
      </c>
    </row>
    <row r="248" spans="19:27" x14ac:dyDescent="0.25">
      <c r="S248" s="145">
        <v>6</v>
      </c>
      <c r="T248" s="15" t="s">
        <v>282</v>
      </c>
    </row>
    <row r="249" spans="19:27" x14ac:dyDescent="0.25">
      <c r="S249" s="145">
        <v>7</v>
      </c>
    </row>
    <row r="250" spans="19:27" x14ac:dyDescent="0.25">
      <c r="S250" s="145">
        <v>8</v>
      </c>
      <c r="T250" s="49" t="s">
        <v>239</v>
      </c>
      <c r="AA250" s="49">
        <v>6</v>
      </c>
    </row>
    <row r="251" spans="19:27" x14ac:dyDescent="0.25">
      <c r="S251" s="145">
        <v>9</v>
      </c>
      <c r="T251" s="49" t="s">
        <v>52</v>
      </c>
    </row>
    <row r="252" spans="19:27" x14ac:dyDescent="0.25">
      <c r="S252" s="145">
        <v>10</v>
      </c>
      <c r="T252" s="15" t="s">
        <v>56</v>
      </c>
      <c r="AA252" s="49">
        <v>36.9</v>
      </c>
    </row>
    <row r="253" spans="19:27" x14ac:dyDescent="0.25">
      <c r="S253" s="145">
        <v>11</v>
      </c>
      <c r="T253" s="15" t="s">
        <v>59</v>
      </c>
    </row>
    <row r="254" spans="19:27" x14ac:dyDescent="0.25">
      <c r="S254" s="145">
        <v>12</v>
      </c>
      <c r="T254" s="15" t="s">
        <v>60</v>
      </c>
    </row>
    <row r="255" spans="19:27" x14ac:dyDescent="0.25">
      <c r="S255" s="145">
        <v>13</v>
      </c>
      <c r="T255" s="15" t="s">
        <v>117</v>
      </c>
      <c r="AA255" s="49">
        <v>1</v>
      </c>
    </row>
    <row r="256" spans="19:27" x14ac:dyDescent="0.25">
      <c r="S256" s="145">
        <v>14</v>
      </c>
      <c r="T256" s="15" t="s">
        <v>281</v>
      </c>
    </row>
    <row r="257" spans="19:27" x14ac:dyDescent="0.25">
      <c r="S257" s="145">
        <v>15</v>
      </c>
    </row>
    <row r="258" spans="19:27" x14ac:dyDescent="0.25">
      <c r="S258" s="145">
        <v>16</v>
      </c>
      <c r="T258" s="15" t="s">
        <v>236</v>
      </c>
      <c r="AA258" s="49">
        <v>3.8</v>
      </c>
    </row>
    <row r="259" spans="19:27" x14ac:dyDescent="0.25">
      <c r="S259" s="145">
        <v>17</v>
      </c>
    </row>
    <row r="260" spans="19:27" x14ac:dyDescent="0.25">
      <c r="S260" s="145">
        <v>18</v>
      </c>
      <c r="T260" s="15" t="s">
        <v>135</v>
      </c>
      <c r="AA260" s="49">
        <v>3.9</v>
      </c>
    </row>
    <row r="262" spans="19:27" x14ac:dyDescent="0.25">
      <c r="S262" s="145">
        <v>1</v>
      </c>
      <c r="T262" s="15" t="s">
        <v>279</v>
      </c>
    </row>
    <row r="263" spans="19:27" x14ac:dyDescent="0.25">
      <c r="S263" s="145">
        <v>2</v>
      </c>
      <c r="T263" s="15" t="s">
        <v>280</v>
      </c>
      <c r="Z263" s="144">
        <v>46.8</v>
      </c>
    </row>
    <row r="264" spans="19:27" x14ac:dyDescent="0.25">
      <c r="S264" s="145">
        <v>3</v>
      </c>
    </row>
    <row r="265" spans="19:27" x14ac:dyDescent="0.25">
      <c r="S265" s="145">
        <v>4</v>
      </c>
      <c r="T265" s="15" t="s">
        <v>78</v>
      </c>
      <c r="V265" s="15" t="s">
        <v>80</v>
      </c>
      <c r="AA265" s="144">
        <v>6</v>
      </c>
    </row>
    <row r="266" spans="19:27" x14ac:dyDescent="0.25">
      <c r="S266" s="145">
        <v>5</v>
      </c>
      <c r="T266" s="15" t="s">
        <v>33</v>
      </c>
    </row>
    <row r="267" spans="19:27" x14ac:dyDescent="0.25">
      <c r="S267" s="145">
        <v>6</v>
      </c>
    </row>
    <row r="268" spans="19:27" x14ac:dyDescent="0.25">
      <c r="S268" s="145">
        <v>7</v>
      </c>
    </row>
    <row r="269" spans="19:27" x14ac:dyDescent="0.25">
      <c r="S269" s="145">
        <v>8</v>
      </c>
      <c r="T269" s="15" t="s">
        <v>56</v>
      </c>
      <c r="AA269" s="49">
        <v>36.9</v>
      </c>
    </row>
    <row r="270" spans="19:27" x14ac:dyDescent="0.25">
      <c r="S270" s="145">
        <v>9</v>
      </c>
      <c r="T270" s="15" t="s">
        <v>57</v>
      </c>
    </row>
    <row r="271" spans="19:27" x14ac:dyDescent="0.25">
      <c r="S271" s="145">
        <v>10</v>
      </c>
      <c r="T271" s="15" t="s">
        <v>58</v>
      </c>
    </row>
    <row r="272" spans="19:27" x14ac:dyDescent="0.25">
      <c r="S272" s="145">
        <v>11</v>
      </c>
      <c r="T272" s="15" t="s">
        <v>59</v>
      </c>
    </row>
    <row r="273" spans="19:27" x14ac:dyDescent="0.25">
      <c r="S273" s="145">
        <v>12</v>
      </c>
      <c r="T273" s="15" t="s">
        <v>60</v>
      </c>
    </row>
    <row r="274" spans="19:27" x14ac:dyDescent="0.25">
      <c r="S274" s="145">
        <v>13</v>
      </c>
      <c r="T274" s="15" t="s">
        <v>114</v>
      </c>
    </row>
    <row r="275" spans="19:27" x14ac:dyDescent="0.25">
      <c r="S275" s="145">
        <v>14</v>
      </c>
      <c r="T275" s="15" t="s">
        <v>281</v>
      </c>
    </row>
    <row r="276" spans="19:27" x14ac:dyDescent="0.25">
      <c r="S276" s="145">
        <v>15</v>
      </c>
    </row>
    <row r="277" spans="19:27" x14ac:dyDescent="0.25">
      <c r="S277" s="145">
        <v>16</v>
      </c>
      <c r="T277" s="15" t="s">
        <v>237</v>
      </c>
      <c r="AA277" s="49">
        <v>0</v>
      </c>
    </row>
    <row r="278" spans="19:27" x14ac:dyDescent="0.25">
      <c r="S278" s="145">
        <v>17</v>
      </c>
    </row>
    <row r="279" spans="19:27" x14ac:dyDescent="0.25">
      <c r="S279" s="145">
        <v>18</v>
      </c>
      <c r="T279" s="15" t="s">
        <v>135</v>
      </c>
      <c r="AA279" s="49">
        <v>3.9</v>
      </c>
    </row>
    <row r="280" spans="19:27" x14ac:dyDescent="0.25">
      <c r="S280" s="145"/>
      <c r="Z280" s="144"/>
    </row>
    <row r="281" spans="19:27" x14ac:dyDescent="0.25">
      <c r="S281" s="145">
        <v>1</v>
      </c>
      <c r="T281" s="15" t="s">
        <v>279</v>
      </c>
    </row>
    <row r="282" spans="19:27" x14ac:dyDescent="0.25">
      <c r="S282" s="145">
        <v>2</v>
      </c>
      <c r="T282" s="15" t="s">
        <v>280</v>
      </c>
      <c r="Z282" s="144">
        <v>52.8</v>
      </c>
    </row>
    <row r="283" spans="19:27" x14ac:dyDescent="0.25">
      <c r="S283" s="145">
        <v>3</v>
      </c>
    </row>
    <row r="284" spans="19:27" x14ac:dyDescent="0.25">
      <c r="S284" s="145">
        <v>4</v>
      </c>
      <c r="T284" s="15" t="s">
        <v>79</v>
      </c>
      <c r="W284" s="15" t="s">
        <v>80</v>
      </c>
      <c r="AA284" s="144">
        <v>12</v>
      </c>
    </row>
    <row r="285" spans="19:27" x14ac:dyDescent="0.25">
      <c r="S285" s="145">
        <v>5</v>
      </c>
      <c r="T285" s="15" t="s">
        <v>33</v>
      </c>
    </row>
    <row r="286" spans="19:27" x14ac:dyDescent="0.25">
      <c r="S286" s="145">
        <v>6</v>
      </c>
    </row>
    <row r="287" spans="19:27" x14ac:dyDescent="0.25">
      <c r="S287" s="145">
        <v>7</v>
      </c>
    </row>
    <row r="288" spans="19:27" x14ac:dyDescent="0.25">
      <c r="S288" s="145">
        <v>8</v>
      </c>
      <c r="T288" s="15" t="s">
        <v>56</v>
      </c>
      <c r="AA288" s="49">
        <v>36.9</v>
      </c>
    </row>
    <row r="289" spans="1:27" x14ac:dyDescent="0.25">
      <c r="S289" s="145">
        <v>9</v>
      </c>
      <c r="T289" s="15" t="s">
        <v>57</v>
      </c>
    </row>
    <row r="290" spans="1:27" x14ac:dyDescent="0.25">
      <c r="S290" s="145">
        <v>10</v>
      </c>
      <c r="T290" s="15" t="s">
        <v>58</v>
      </c>
    </row>
    <row r="291" spans="1:27" x14ac:dyDescent="0.25">
      <c r="S291" s="145">
        <v>11</v>
      </c>
      <c r="T291" s="15" t="s">
        <v>59</v>
      </c>
    </row>
    <row r="292" spans="1:27" x14ac:dyDescent="0.25">
      <c r="S292" s="145">
        <v>12</v>
      </c>
      <c r="T292" s="15" t="s">
        <v>60</v>
      </c>
    </row>
    <row r="293" spans="1:27" x14ac:dyDescent="0.25">
      <c r="S293" s="145">
        <v>13</v>
      </c>
      <c r="T293" s="15" t="s">
        <v>114</v>
      </c>
    </row>
    <row r="294" spans="1:27" x14ac:dyDescent="0.25">
      <c r="S294" s="145">
        <v>14</v>
      </c>
      <c r="T294" s="15" t="s">
        <v>281</v>
      </c>
    </row>
    <row r="295" spans="1:27" x14ac:dyDescent="0.25">
      <c r="S295" s="145">
        <v>15</v>
      </c>
    </row>
    <row r="296" spans="1:27" x14ac:dyDescent="0.25">
      <c r="S296" s="145">
        <v>16</v>
      </c>
      <c r="T296" s="15" t="s">
        <v>237</v>
      </c>
      <c r="AA296" s="49">
        <v>0</v>
      </c>
    </row>
    <row r="297" spans="1:27" x14ac:dyDescent="0.25">
      <c r="S297" s="145">
        <v>17</v>
      </c>
    </row>
    <row r="298" spans="1:27" x14ac:dyDescent="0.25">
      <c r="S298" s="145">
        <v>18</v>
      </c>
      <c r="T298" s="15" t="s">
        <v>135</v>
      </c>
      <c r="AA298" s="49">
        <v>3.9</v>
      </c>
    </row>
    <row r="300" spans="1:27" x14ac:dyDescent="0.25">
      <c r="A300" s="49" t="s">
        <v>416</v>
      </c>
      <c r="B300" s="49"/>
      <c r="C300" s="49"/>
      <c r="D300" s="49" t="s">
        <v>417</v>
      </c>
      <c r="E300" s="49"/>
      <c r="S300" s="145">
        <v>1</v>
      </c>
      <c r="T300" s="15" t="s">
        <v>279</v>
      </c>
    </row>
    <row r="301" spans="1:27" x14ac:dyDescent="0.25">
      <c r="A301" s="49" t="s">
        <v>418</v>
      </c>
      <c r="B301" s="49"/>
      <c r="C301" s="49"/>
      <c r="D301" s="49"/>
      <c r="E301" s="49">
        <v>2.8</v>
      </c>
      <c r="S301" s="145">
        <v>2</v>
      </c>
      <c r="T301" s="15" t="s">
        <v>280</v>
      </c>
      <c r="Z301" s="144">
        <v>40.799999999999997</v>
      </c>
    </row>
    <row r="302" spans="1:27" x14ac:dyDescent="0.25">
      <c r="A302" s="49" t="s">
        <v>419</v>
      </c>
      <c r="B302" s="49"/>
      <c r="C302" s="49"/>
      <c r="D302" s="49"/>
      <c r="E302" s="49">
        <v>4.5</v>
      </c>
      <c r="S302" s="145">
        <v>3</v>
      </c>
    </row>
    <row r="303" spans="1:27" x14ac:dyDescent="0.25">
      <c r="A303" s="49" t="s">
        <v>420</v>
      </c>
      <c r="B303" s="49"/>
      <c r="C303" s="49"/>
      <c r="D303" s="49"/>
      <c r="E303" s="49">
        <v>4.5</v>
      </c>
      <c r="S303" s="145">
        <v>4</v>
      </c>
      <c r="T303" s="15">
        <v>0</v>
      </c>
      <c r="AA303" s="144">
        <v>0</v>
      </c>
    </row>
    <row r="304" spans="1:27" x14ac:dyDescent="0.25">
      <c r="A304" s="49" t="s">
        <v>421</v>
      </c>
      <c r="B304" s="49"/>
      <c r="C304" s="49"/>
      <c r="D304" s="49"/>
      <c r="E304" s="49">
        <v>3</v>
      </c>
      <c r="S304" s="145">
        <v>5</v>
      </c>
      <c r="T304" s="15" t="s">
        <v>329</v>
      </c>
    </row>
    <row r="305" spans="1:27" x14ac:dyDescent="0.25">
      <c r="A305" s="49" t="s">
        <v>424</v>
      </c>
      <c r="B305" s="49"/>
      <c r="C305" s="49"/>
      <c r="D305" s="49"/>
      <c r="E305" s="49">
        <v>4.5</v>
      </c>
      <c r="S305" s="145">
        <v>6</v>
      </c>
      <c r="T305" s="15" t="s">
        <v>282</v>
      </c>
    </row>
    <row r="306" spans="1:27" x14ac:dyDescent="0.25">
      <c r="A306" s="49"/>
      <c r="B306" s="49"/>
      <c r="C306" s="49"/>
      <c r="D306" s="49"/>
      <c r="E306" s="49"/>
      <c r="S306" s="145">
        <v>7</v>
      </c>
    </row>
    <row r="307" spans="1:27" x14ac:dyDescent="0.25">
      <c r="A307" s="49"/>
      <c r="B307" s="49"/>
      <c r="C307" s="49"/>
      <c r="D307" s="49"/>
      <c r="E307" s="49"/>
      <c r="S307" s="145">
        <v>8</v>
      </c>
      <c r="T307" s="15" t="s">
        <v>56</v>
      </c>
      <c r="AA307" s="49">
        <v>36.9</v>
      </c>
    </row>
    <row r="308" spans="1:27" x14ac:dyDescent="0.25">
      <c r="S308" s="145">
        <v>9</v>
      </c>
      <c r="T308" s="15" t="s">
        <v>57</v>
      </c>
    </row>
    <row r="309" spans="1:27" x14ac:dyDescent="0.25">
      <c r="S309" s="145">
        <v>10</v>
      </c>
      <c r="T309" s="15" t="s">
        <v>58</v>
      </c>
    </row>
    <row r="310" spans="1:27" x14ac:dyDescent="0.25">
      <c r="S310" s="145">
        <v>11</v>
      </c>
      <c r="T310" s="15" t="s">
        <v>59</v>
      </c>
    </row>
    <row r="311" spans="1:27" x14ac:dyDescent="0.25">
      <c r="S311" s="145">
        <v>12</v>
      </c>
      <c r="T311" s="15" t="s">
        <v>60</v>
      </c>
    </row>
    <row r="312" spans="1:27" x14ac:dyDescent="0.25">
      <c r="S312" s="145">
        <v>13</v>
      </c>
      <c r="T312" s="15" t="s">
        <v>114</v>
      </c>
    </row>
    <row r="313" spans="1:27" x14ac:dyDescent="0.25">
      <c r="S313" s="145">
        <v>14</v>
      </c>
      <c r="T313" s="15" t="s">
        <v>281</v>
      </c>
    </row>
    <row r="314" spans="1:27" x14ac:dyDescent="0.25">
      <c r="S314" s="145">
        <v>15</v>
      </c>
    </row>
    <row r="315" spans="1:27" x14ac:dyDescent="0.25">
      <c r="S315" s="145">
        <v>16</v>
      </c>
      <c r="T315" s="15" t="s">
        <v>237</v>
      </c>
      <c r="AA315" s="49">
        <v>0</v>
      </c>
    </row>
    <row r="316" spans="1:27" x14ac:dyDescent="0.25">
      <c r="S316" s="145">
        <v>17</v>
      </c>
    </row>
    <row r="317" spans="1:27" x14ac:dyDescent="0.25">
      <c r="S317" s="145">
        <v>18</v>
      </c>
      <c r="T317" s="15" t="s">
        <v>135</v>
      </c>
      <c r="AA317" s="49">
        <v>3.9</v>
      </c>
    </row>
    <row r="320" spans="1:27" x14ac:dyDescent="0.25">
      <c r="S320" s="145">
        <v>1</v>
      </c>
      <c r="T320" s="15" t="s">
        <v>279</v>
      </c>
    </row>
    <row r="321" spans="19:27" x14ac:dyDescent="0.25">
      <c r="S321" s="145">
        <v>2</v>
      </c>
      <c r="T321" s="15" t="s">
        <v>280</v>
      </c>
      <c r="Z321" s="144">
        <v>52.8</v>
      </c>
    </row>
    <row r="322" spans="19:27" x14ac:dyDescent="0.25">
      <c r="S322" s="145">
        <v>3</v>
      </c>
    </row>
    <row r="323" spans="19:27" x14ac:dyDescent="0.25">
      <c r="S323" s="145">
        <v>4</v>
      </c>
      <c r="T323" s="15" t="s">
        <v>78</v>
      </c>
      <c r="V323" s="15" t="s">
        <v>80</v>
      </c>
      <c r="AA323" s="144">
        <v>6</v>
      </c>
    </row>
    <row r="324" spans="19:27" x14ac:dyDescent="0.25">
      <c r="S324" s="145">
        <v>5</v>
      </c>
      <c r="T324" s="15" t="s">
        <v>33</v>
      </c>
    </row>
    <row r="325" spans="19:27" x14ac:dyDescent="0.25">
      <c r="S325" s="145">
        <v>6</v>
      </c>
    </row>
    <row r="326" spans="19:27" x14ac:dyDescent="0.25">
      <c r="S326" s="145">
        <v>7</v>
      </c>
    </row>
    <row r="327" spans="19:27" x14ac:dyDescent="0.25">
      <c r="S327" s="145">
        <v>8</v>
      </c>
      <c r="T327" s="49" t="s">
        <v>239</v>
      </c>
      <c r="AA327" s="49">
        <v>6</v>
      </c>
    </row>
    <row r="328" spans="19:27" x14ac:dyDescent="0.25">
      <c r="S328" s="145">
        <v>9</v>
      </c>
      <c r="T328" s="49" t="s">
        <v>52</v>
      </c>
    </row>
    <row r="329" spans="19:27" x14ac:dyDescent="0.25">
      <c r="S329" s="145">
        <v>10</v>
      </c>
      <c r="T329" s="15" t="s">
        <v>56</v>
      </c>
      <c r="AA329" s="49">
        <v>36.9</v>
      </c>
    </row>
    <row r="330" spans="19:27" x14ac:dyDescent="0.25">
      <c r="S330" s="145">
        <v>11</v>
      </c>
      <c r="T330" s="15" t="s">
        <v>59</v>
      </c>
    </row>
    <row r="331" spans="19:27" x14ac:dyDescent="0.25">
      <c r="S331" s="145">
        <v>12</v>
      </c>
      <c r="T331" s="15" t="s">
        <v>60</v>
      </c>
    </row>
    <row r="332" spans="19:27" x14ac:dyDescent="0.25">
      <c r="S332" s="145">
        <v>13</v>
      </c>
      <c r="T332" s="15" t="s">
        <v>114</v>
      </c>
    </row>
    <row r="333" spans="19:27" x14ac:dyDescent="0.25">
      <c r="S333" s="145">
        <v>14</v>
      </c>
      <c r="T333" s="15" t="s">
        <v>281</v>
      </c>
    </row>
    <row r="334" spans="19:27" x14ac:dyDescent="0.25">
      <c r="S334" s="145">
        <v>15</v>
      </c>
    </row>
    <row r="335" spans="19:27" x14ac:dyDescent="0.25">
      <c r="S335" s="145">
        <v>16</v>
      </c>
      <c r="T335" s="15" t="s">
        <v>237</v>
      </c>
      <c r="AA335" s="49">
        <v>0</v>
      </c>
    </row>
    <row r="336" spans="19:27" x14ac:dyDescent="0.25">
      <c r="S336" s="145">
        <v>17</v>
      </c>
    </row>
    <row r="337" spans="19:27" x14ac:dyDescent="0.25">
      <c r="S337" s="145">
        <v>18</v>
      </c>
      <c r="T337" s="15" t="s">
        <v>135</v>
      </c>
      <c r="AA337" s="49">
        <v>3.9</v>
      </c>
    </row>
    <row r="338" spans="19:27" x14ac:dyDescent="0.25">
      <c r="S338" s="145"/>
      <c r="Z338" s="144"/>
    </row>
    <row r="339" spans="19:27" x14ac:dyDescent="0.25">
      <c r="S339" s="145">
        <v>1</v>
      </c>
      <c r="T339" s="15" t="s">
        <v>279</v>
      </c>
    </row>
    <row r="340" spans="19:27" x14ac:dyDescent="0.25">
      <c r="S340" s="145">
        <v>2</v>
      </c>
      <c r="T340" s="15" t="s">
        <v>280</v>
      </c>
      <c r="Z340" s="144">
        <v>58.8</v>
      </c>
    </row>
    <row r="341" spans="19:27" x14ac:dyDescent="0.25">
      <c r="S341" s="145">
        <v>3</v>
      </c>
    </row>
    <row r="342" spans="19:27" x14ac:dyDescent="0.25">
      <c r="S342" s="145">
        <v>4</v>
      </c>
      <c r="T342" s="15" t="s">
        <v>79</v>
      </c>
      <c r="W342" s="15" t="s">
        <v>80</v>
      </c>
      <c r="AA342" s="144">
        <v>12</v>
      </c>
    </row>
    <row r="343" spans="19:27" x14ac:dyDescent="0.25">
      <c r="S343" s="145">
        <v>5</v>
      </c>
      <c r="T343" s="15" t="s">
        <v>33</v>
      </c>
    </row>
    <row r="344" spans="19:27" x14ac:dyDescent="0.25">
      <c r="S344" s="145">
        <v>6</v>
      </c>
    </row>
    <row r="345" spans="19:27" x14ac:dyDescent="0.25">
      <c r="S345" s="145">
        <v>7</v>
      </c>
    </row>
    <row r="346" spans="19:27" x14ac:dyDescent="0.25">
      <c r="S346" s="145">
        <v>8</v>
      </c>
      <c r="T346" s="49" t="s">
        <v>239</v>
      </c>
      <c r="AA346" s="49">
        <v>6</v>
      </c>
    </row>
    <row r="347" spans="19:27" x14ac:dyDescent="0.25">
      <c r="S347" s="145">
        <v>9</v>
      </c>
      <c r="T347" s="49" t="s">
        <v>52</v>
      </c>
    </row>
    <row r="348" spans="19:27" x14ac:dyDescent="0.25">
      <c r="S348" s="145">
        <v>10</v>
      </c>
      <c r="T348" s="15" t="s">
        <v>56</v>
      </c>
      <c r="AA348" s="49">
        <v>36.9</v>
      </c>
    </row>
    <row r="349" spans="19:27" x14ac:dyDescent="0.25">
      <c r="S349" s="145">
        <v>11</v>
      </c>
      <c r="T349" s="15" t="s">
        <v>59</v>
      </c>
    </row>
    <row r="350" spans="19:27" x14ac:dyDescent="0.25">
      <c r="S350" s="145">
        <v>12</v>
      </c>
      <c r="T350" s="15" t="s">
        <v>60</v>
      </c>
    </row>
    <row r="351" spans="19:27" x14ac:dyDescent="0.25">
      <c r="S351" s="145">
        <v>13</v>
      </c>
      <c r="T351" s="15" t="s">
        <v>114</v>
      </c>
    </row>
    <row r="352" spans="19:27" x14ac:dyDescent="0.25">
      <c r="S352" s="145">
        <v>14</v>
      </c>
      <c r="T352" s="15" t="s">
        <v>281</v>
      </c>
    </row>
    <row r="353" spans="19:27" x14ac:dyDescent="0.25">
      <c r="S353" s="145">
        <v>15</v>
      </c>
    </row>
    <row r="354" spans="19:27" x14ac:dyDescent="0.25">
      <c r="S354" s="145">
        <v>16</v>
      </c>
      <c r="T354" s="15" t="s">
        <v>237</v>
      </c>
      <c r="AA354" s="49">
        <v>0</v>
      </c>
    </row>
    <row r="355" spans="19:27" x14ac:dyDescent="0.25">
      <c r="S355" s="145">
        <v>17</v>
      </c>
    </row>
    <row r="356" spans="19:27" x14ac:dyDescent="0.25">
      <c r="S356" s="145">
        <v>18</v>
      </c>
      <c r="T356" s="15" t="s">
        <v>135</v>
      </c>
      <c r="AA356" s="49">
        <v>3.9</v>
      </c>
    </row>
    <row r="358" spans="19:27" x14ac:dyDescent="0.25">
      <c r="S358" s="145">
        <v>1</v>
      </c>
      <c r="T358" s="15" t="s">
        <v>279</v>
      </c>
    </row>
    <row r="359" spans="19:27" x14ac:dyDescent="0.25">
      <c r="S359" s="145">
        <v>2</v>
      </c>
      <c r="T359" s="15" t="s">
        <v>280</v>
      </c>
      <c r="Z359" s="144">
        <v>46.8</v>
      </c>
    </row>
    <row r="360" spans="19:27" x14ac:dyDescent="0.25">
      <c r="S360" s="145">
        <v>3</v>
      </c>
    </row>
    <row r="361" spans="19:27" x14ac:dyDescent="0.25">
      <c r="S361" s="145">
        <v>4</v>
      </c>
      <c r="T361" s="15">
        <v>0</v>
      </c>
      <c r="AA361" s="144">
        <v>0</v>
      </c>
    </row>
    <row r="362" spans="19:27" x14ac:dyDescent="0.25">
      <c r="S362" s="145">
        <v>5</v>
      </c>
      <c r="T362" s="15" t="s">
        <v>329</v>
      </c>
    </row>
    <row r="363" spans="19:27" x14ac:dyDescent="0.25">
      <c r="S363" s="145">
        <v>6</v>
      </c>
      <c r="T363" s="15" t="s">
        <v>282</v>
      </c>
    </row>
    <row r="364" spans="19:27" x14ac:dyDescent="0.25">
      <c r="S364" s="145">
        <v>7</v>
      </c>
    </row>
    <row r="365" spans="19:27" x14ac:dyDescent="0.25">
      <c r="S365" s="145">
        <v>8</v>
      </c>
      <c r="T365" s="49" t="s">
        <v>239</v>
      </c>
      <c r="AA365" s="49">
        <v>6</v>
      </c>
    </row>
    <row r="366" spans="19:27" x14ac:dyDescent="0.25">
      <c r="S366" s="145">
        <v>9</v>
      </c>
      <c r="T366" s="49" t="s">
        <v>52</v>
      </c>
    </row>
    <row r="367" spans="19:27" x14ac:dyDescent="0.25">
      <c r="S367" s="145">
        <v>10</v>
      </c>
      <c r="T367" s="15" t="s">
        <v>56</v>
      </c>
      <c r="AA367" s="49">
        <v>36.9</v>
      </c>
    </row>
    <row r="368" spans="19:27" x14ac:dyDescent="0.25">
      <c r="S368" s="145">
        <v>11</v>
      </c>
      <c r="T368" s="15" t="s">
        <v>59</v>
      </c>
    </row>
    <row r="369" spans="1:27" x14ac:dyDescent="0.25">
      <c r="S369" s="145">
        <v>12</v>
      </c>
      <c r="T369" s="15" t="s">
        <v>60</v>
      </c>
    </row>
    <row r="370" spans="1:27" x14ac:dyDescent="0.25">
      <c r="S370" s="145">
        <v>13</v>
      </c>
      <c r="T370" s="15" t="s">
        <v>114</v>
      </c>
    </row>
    <row r="371" spans="1:27" x14ac:dyDescent="0.25">
      <c r="S371" s="145">
        <v>14</v>
      </c>
      <c r="T371" s="15" t="s">
        <v>281</v>
      </c>
    </row>
    <row r="372" spans="1:27" x14ac:dyDescent="0.25">
      <c r="S372" s="145">
        <v>15</v>
      </c>
    </row>
    <row r="373" spans="1:27" x14ac:dyDescent="0.25">
      <c r="S373" s="145">
        <v>16</v>
      </c>
      <c r="T373" s="15" t="s">
        <v>237</v>
      </c>
      <c r="AA373" s="49">
        <v>0</v>
      </c>
    </row>
    <row r="374" spans="1:27" x14ac:dyDescent="0.25">
      <c r="S374" s="145">
        <v>17</v>
      </c>
    </row>
    <row r="375" spans="1:27" x14ac:dyDescent="0.25">
      <c r="S375" s="145">
        <v>18</v>
      </c>
      <c r="T375" s="15" t="s">
        <v>135</v>
      </c>
      <c r="AA375" s="49">
        <v>3.9</v>
      </c>
    </row>
    <row r="378" spans="1:27" x14ac:dyDescent="0.25">
      <c r="S378" s="145">
        <v>1</v>
      </c>
      <c r="T378" s="15" t="s">
        <v>279</v>
      </c>
    </row>
    <row r="379" spans="1:27" x14ac:dyDescent="0.25">
      <c r="S379" s="145">
        <v>2</v>
      </c>
      <c r="T379" s="15" t="s">
        <v>280</v>
      </c>
      <c r="Z379" s="144">
        <v>47.8</v>
      </c>
    </row>
    <row r="380" spans="1:27" x14ac:dyDescent="0.25">
      <c r="A380" s="15" t="s">
        <v>316</v>
      </c>
      <c r="S380" s="145">
        <v>3</v>
      </c>
    </row>
    <row r="381" spans="1:27" x14ac:dyDescent="0.25">
      <c r="A381" s="15" t="s">
        <v>391</v>
      </c>
      <c r="S381" s="145">
        <v>4</v>
      </c>
      <c r="T381" s="15" t="s">
        <v>78</v>
      </c>
      <c r="V381" s="15" t="s">
        <v>80</v>
      </c>
      <c r="AA381" s="144">
        <v>6</v>
      </c>
    </row>
    <row r="382" spans="1:27" x14ac:dyDescent="0.25">
      <c r="A382" s="15" t="s">
        <v>392</v>
      </c>
      <c r="S382" s="145">
        <v>5</v>
      </c>
      <c r="T382" s="15" t="s">
        <v>33</v>
      </c>
    </row>
    <row r="383" spans="1:27" x14ac:dyDescent="0.25">
      <c r="S383" s="145">
        <v>6</v>
      </c>
    </row>
    <row r="384" spans="1:27" x14ac:dyDescent="0.25">
      <c r="S384" s="145">
        <v>7</v>
      </c>
    </row>
    <row r="385" spans="19:27" x14ac:dyDescent="0.25">
      <c r="S385" s="145">
        <v>8</v>
      </c>
      <c r="T385" s="15" t="s">
        <v>56</v>
      </c>
      <c r="AA385" s="49">
        <v>36.9</v>
      </c>
    </row>
    <row r="386" spans="19:27" x14ac:dyDescent="0.25">
      <c r="S386" s="145">
        <v>9</v>
      </c>
      <c r="T386" s="15" t="s">
        <v>57</v>
      </c>
    </row>
    <row r="387" spans="19:27" x14ac:dyDescent="0.25">
      <c r="S387" s="145">
        <v>10</v>
      </c>
      <c r="T387" s="15" t="s">
        <v>58</v>
      </c>
    </row>
    <row r="388" spans="19:27" x14ac:dyDescent="0.25">
      <c r="S388" s="145">
        <v>11</v>
      </c>
      <c r="T388" s="15" t="s">
        <v>59</v>
      </c>
    </row>
    <row r="389" spans="19:27" x14ac:dyDescent="0.25">
      <c r="S389" s="145">
        <v>12</v>
      </c>
      <c r="T389" s="15" t="s">
        <v>60</v>
      </c>
    </row>
    <row r="390" spans="19:27" x14ac:dyDescent="0.25">
      <c r="S390" s="145">
        <v>13</v>
      </c>
      <c r="T390" s="15" t="s">
        <v>117</v>
      </c>
      <c r="AA390" s="49">
        <v>1</v>
      </c>
    </row>
    <row r="391" spans="19:27" x14ac:dyDescent="0.25">
      <c r="S391" s="145">
        <v>14</v>
      </c>
      <c r="T391" s="15" t="s">
        <v>281</v>
      </c>
    </row>
    <row r="392" spans="19:27" x14ac:dyDescent="0.25">
      <c r="S392" s="145">
        <v>15</v>
      </c>
    </row>
    <row r="393" spans="19:27" x14ac:dyDescent="0.25">
      <c r="S393" s="145">
        <v>16</v>
      </c>
      <c r="T393" s="15" t="s">
        <v>237</v>
      </c>
      <c r="AA393" s="49">
        <v>0</v>
      </c>
    </row>
    <row r="394" spans="19:27" x14ac:dyDescent="0.25">
      <c r="S394" s="145">
        <v>17</v>
      </c>
    </row>
    <row r="395" spans="19:27" x14ac:dyDescent="0.25">
      <c r="S395" s="145">
        <v>18</v>
      </c>
      <c r="T395" s="15" t="s">
        <v>135</v>
      </c>
      <c r="AA395" s="49">
        <v>3.9</v>
      </c>
    </row>
    <row r="396" spans="19:27" x14ac:dyDescent="0.25">
      <c r="S396" s="145"/>
      <c r="Z396" s="144"/>
    </row>
    <row r="397" spans="19:27" x14ac:dyDescent="0.25">
      <c r="S397" s="145">
        <v>1</v>
      </c>
      <c r="T397" s="15" t="s">
        <v>279</v>
      </c>
    </row>
    <row r="398" spans="19:27" x14ac:dyDescent="0.25">
      <c r="S398" s="145">
        <v>2</v>
      </c>
      <c r="T398" s="15" t="s">
        <v>280</v>
      </c>
      <c r="Z398" s="144">
        <v>53.8</v>
      </c>
    </row>
    <row r="399" spans="19:27" x14ac:dyDescent="0.25">
      <c r="S399" s="145">
        <v>3</v>
      </c>
    </row>
    <row r="400" spans="19:27" x14ac:dyDescent="0.25">
      <c r="S400" s="145">
        <v>4</v>
      </c>
      <c r="T400" s="15" t="s">
        <v>79</v>
      </c>
      <c r="W400" s="15" t="s">
        <v>80</v>
      </c>
      <c r="AA400" s="144">
        <v>12</v>
      </c>
    </row>
    <row r="401" spans="19:27" x14ac:dyDescent="0.25">
      <c r="S401" s="145">
        <v>5</v>
      </c>
      <c r="T401" s="15" t="s">
        <v>33</v>
      </c>
    </row>
    <row r="402" spans="19:27" x14ac:dyDescent="0.25">
      <c r="S402" s="145">
        <v>6</v>
      </c>
    </row>
    <row r="403" spans="19:27" x14ac:dyDescent="0.25">
      <c r="S403" s="145">
        <v>7</v>
      </c>
    </row>
    <row r="404" spans="19:27" x14ac:dyDescent="0.25">
      <c r="S404" s="145">
        <v>8</v>
      </c>
      <c r="T404" s="15" t="s">
        <v>56</v>
      </c>
      <c r="AA404" s="49">
        <v>36.9</v>
      </c>
    </row>
    <row r="405" spans="19:27" x14ac:dyDescent="0.25">
      <c r="S405" s="145">
        <v>9</v>
      </c>
      <c r="T405" s="15" t="s">
        <v>57</v>
      </c>
    </row>
    <row r="406" spans="19:27" x14ac:dyDescent="0.25">
      <c r="S406" s="145">
        <v>10</v>
      </c>
      <c r="T406" s="15" t="s">
        <v>58</v>
      </c>
    </row>
    <row r="407" spans="19:27" x14ac:dyDescent="0.25">
      <c r="S407" s="145">
        <v>11</v>
      </c>
      <c r="T407" s="15" t="s">
        <v>59</v>
      </c>
    </row>
    <row r="408" spans="19:27" x14ac:dyDescent="0.25">
      <c r="S408" s="145">
        <v>12</v>
      </c>
      <c r="T408" s="15" t="s">
        <v>60</v>
      </c>
    </row>
    <row r="409" spans="19:27" x14ac:dyDescent="0.25">
      <c r="S409" s="145">
        <v>13</v>
      </c>
      <c r="T409" s="15" t="s">
        <v>117</v>
      </c>
      <c r="AA409" s="49">
        <v>1</v>
      </c>
    </row>
    <row r="410" spans="19:27" x14ac:dyDescent="0.25">
      <c r="S410" s="145">
        <v>14</v>
      </c>
      <c r="T410" s="15" t="s">
        <v>281</v>
      </c>
    </row>
    <row r="411" spans="19:27" x14ac:dyDescent="0.25">
      <c r="S411" s="145">
        <v>15</v>
      </c>
    </row>
    <row r="412" spans="19:27" x14ac:dyDescent="0.25">
      <c r="S412" s="145">
        <v>16</v>
      </c>
      <c r="T412" s="15" t="s">
        <v>237</v>
      </c>
      <c r="AA412" s="49">
        <v>0</v>
      </c>
    </row>
    <row r="413" spans="19:27" x14ac:dyDescent="0.25">
      <c r="S413" s="145">
        <v>17</v>
      </c>
    </row>
    <row r="414" spans="19:27" x14ac:dyDescent="0.25">
      <c r="S414" s="145">
        <v>18</v>
      </c>
      <c r="T414" s="15" t="s">
        <v>135</v>
      </c>
      <c r="AA414" s="49">
        <v>3.9</v>
      </c>
    </row>
    <row r="416" spans="19:27" x14ac:dyDescent="0.25">
      <c r="S416" s="145">
        <v>1</v>
      </c>
      <c r="T416" s="15" t="s">
        <v>279</v>
      </c>
    </row>
    <row r="417" spans="19:27" x14ac:dyDescent="0.25">
      <c r="S417" s="145">
        <v>2</v>
      </c>
      <c r="T417" s="15" t="s">
        <v>280</v>
      </c>
      <c r="Z417" s="144">
        <v>41.8</v>
      </c>
    </row>
    <row r="418" spans="19:27" x14ac:dyDescent="0.25">
      <c r="S418" s="145">
        <v>3</v>
      </c>
    </row>
    <row r="419" spans="19:27" x14ac:dyDescent="0.25">
      <c r="S419" s="145">
        <v>4</v>
      </c>
      <c r="T419" s="15">
        <v>0</v>
      </c>
      <c r="AA419" s="144">
        <v>0</v>
      </c>
    </row>
    <row r="420" spans="19:27" x14ac:dyDescent="0.25">
      <c r="S420" s="145">
        <v>5</v>
      </c>
      <c r="T420" s="15" t="s">
        <v>329</v>
      </c>
    </row>
    <row r="421" spans="19:27" x14ac:dyDescent="0.25">
      <c r="S421" s="145">
        <v>6</v>
      </c>
      <c r="T421" s="15" t="s">
        <v>282</v>
      </c>
    </row>
    <row r="422" spans="19:27" x14ac:dyDescent="0.25">
      <c r="S422" s="145">
        <v>7</v>
      </c>
    </row>
    <row r="423" spans="19:27" x14ac:dyDescent="0.25">
      <c r="S423" s="145">
        <v>8</v>
      </c>
      <c r="T423" s="15" t="s">
        <v>56</v>
      </c>
      <c r="AA423" s="49">
        <v>36.9</v>
      </c>
    </row>
    <row r="424" spans="19:27" x14ac:dyDescent="0.25">
      <c r="S424" s="145">
        <v>9</v>
      </c>
      <c r="T424" s="15" t="s">
        <v>57</v>
      </c>
    </row>
    <row r="425" spans="19:27" x14ac:dyDescent="0.25">
      <c r="S425" s="145">
        <v>10</v>
      </c>
      <c r="T425" s="15" t="s">
        <v>58</v>
      </c>
    </row>
    <row r="426" spans="19:27" x14ac:dyDescent="0.25">
      <c r="S426" s="145">
        <v>11</v>
      </c>
      <c r="T426" s="15" t="s">
        <v>59</v>
      </c>
    </row>
    <row r="427" spans="19:27" x14ac:dyDescent="0.25">
      <c r="S427" s="145">
        <v>12</v>
      </c>
      <c r="T427" s="15" t="s">
        <v>60</v>
      </c>
    </row>
    <row r="428" spans="19:27" x14ac:dyDescent="0.25">
      <c r="S428" s="145">
        <v>13</v>
      </c>
      <c r="T428" s="15" t="s">
        <v>117</v>
      </c>
      <c r="AA428" s="49">
        <v>1</v>
      </c>
    </row>
    <row r="429" spans="19:27" x14ac:dyDescent="0.25">
      <c r="S429" s="145">
        <v>14</v>
      </c>
      <c r="T429" s="15" t="s">
        <v>281</v>
      </c>
    </row>
    <row r="430" spans="19:27" x14ac:dyDescent="0.25">
      <c r="S430" s="145">
        <v>15</v>
      </c>
    </row>
    <row r="431" spans="19:27" x14ac:dyDescent="0.25">
      <c r="S431" s="145">
        <v>16</v>
      </c>
      <c r="T431" s="15" t="s">
        <v>237</v>
      </c>
      <c r="AA431" s="49">
        <v>0</v>
      </c>
    </row>
    <row r="432" spans="19:27" x14ac:dyDescent="0.25">
      <c r="S432" s="145">
        <v>17</v>
      </c>
    </row>
    <row r="433" spans="19:27" x14ac:dyDescent="0.25">
      <c r="S433" s="145">
        <v>18</v>
      </c>
      <c r="T433" s="15" t="s">
        <v>135</v>
      </c>
      <c r="AA433" s="49">
        <v>3.9</v>
      </c>
    </row>
    <row r="436" spans="19:27" x14ac:dyDescent="0.25">
      <c r="S436" s="145">
        <v>1</v>
      </c>
      <c r="T436" s="15" t="s">
        <v>279</v>
      </c>
    </row>
    <row r="437" spans="19:27" x14ac:dyDescent="0.25">
      <c r="S437" s="145">
        <v>2</v>
      </c>
      <c r="T437" s="15" t="s">
        <v>280</v>
      </c>
      <c r="Z437" s="144">
        <v>53.8</v>
      </c>
    </row>
    <row r="438" spans="19:27" x14ac:dyDescent="0.25">
      <c r="S438" s="145">
        <v>3</v>
      </c>
    </row>
    <row r="439" spans="19:27" x14ac:dyDescent="0.25">
      <c r="S439" s="145">
        <v>4</v>
      </c>
      <c r="T439" s="15" t="s">
        <v>78</v>
      </c>
      <c r="V439" s="15" t="s">
        <v>80</v>
      </c>
      <c r="AA439" s="144">
        <v>6</v>
      </c>
    </row>
    <row r="440" spans="19:27" x14ac:dyDescent="0.25">
      <c r="S440" s="145">
        <v>5</v>
      </c>
      <c r="T440" s="15" t="s">
        <v>33</v>
      </c>
    </row>
    <row r="441" spans="19:27" x14ac:dyDescent="0.25">
      <c r="S441" s="145">
        <v>6</v>
      </c>
    </row>
    <row r="442" spans="19:27" x14ac:dyDescent="0.25">
      <c r="S442" s="145">
        <v>7</v>
      </c>
    </row>
    <row r="443" spans="19:27" x14ac:dyDescent="0.25">
      <c r="S443" s="145">
        <v>8</v>
      </c>
      <c r="T443" s="49" t="s">
        <v>239</v>
      </c>
      <c r="AA443" s="49">
        <v>6</v>
      </c>
    </row>
    <row r="444" spans="19:27" x14ac:dyDescent="0.25">
      <c r="S444" s="145">
        <v>9</v>
      </c>
      <c r="T444" s="49" t="s">
        <v>52</v>
      </c>
    </row>
    <row r="445" spans="19:27" x14ac:dyDescent="0.25">
      <c r="S445" s="145">
        <v>10</v>
      </c>
      <c r="T445" s="15" t="s">
        <v>56</v>
      </c>
      <c r="AA445" s="49">
        <v>36.9</v>
      </c>
    </row>
    <row r="446" spans="19:27" x14ac:dyDescent="0.25">
      <c r="S446" s="145">
        <v>11</v>
      </c>
      <c r="T446" s="15" t="s">
        <v>59</v>
      </c>
    </row>
    <row r="447" spans="19:27" x14ac:dyDescent="0.25">
      <c r="S447" s="145">
        <v>12</v>
      </c>
      <c r="T447" s="15" t="s">
        <v>60</v>
      </c>
    </row>
    <row r="448" spans="19:27" x14ac:dyDescent="0.25">
      <c r="S448" s="145">
        <v>13</v>
      </c>
      <c r="T448" s="15" t="s">
        <v>117</v>
      </c>
      <c r="AA448" s="49">
        <v>1</v>
      </c>
    </row>
    <row r="449" spans="19:27" x14ac:dyDescent="0.25">
      <c r="S449" s="145">
        <v>14</v>
      </c>
      <c r="T449" s="15" t="s">
        <v>281</v>
      </c>
    </row>
    <row r="450" spans="19:27" x14ac:dyDescent="0.25">
      <c r="S450" s="145">
        <v>15</v>
      </c>
    </row>
    <row r="451" spans="19:27" x14ac:dyDescent="0.25">
      <c r="S451" s="145">
        <v>16</v>
      </c>
      <c r="T451" s="15" t="s">
        <v>237</v>
      </c>
      <c r="AA451" s="49">
        <v>0</v>
      </c>
    </row>
    <row r="452" spans="19:27" x14ac:dyDescent="0.25">
      <c r="S452" s="145">
        <v>17</v>
      </c>
    </row>
    <row r="453" spans="19:27" x14ac:dyDescent="0.25">
      <c r="S453" s="145">
        <v>18</v>
      </c>
      <c r="T453" s="15" t="s">
        <v>135</v>
      </c>
      <c r="AA453" s="49">
        <v>3.9</v>
      </c>
    </row>
    <row r="454" spans="19:27" x14ac:dyDescent="0.25">
      <c r="S454" s="145"/>
      <c r="Z454" s="144"/>
    </row>
    <row r="455" spans="19:27" x14ac:dyDescent="0.25">
      <c r="S455" s="145">
        <v>1</v>
      </c>
      <c r="T455" s="15" t="s">
        <v>279</v>
      </c>
    </row>
    <row r="456" spans="19:27" x14ac:dyDescent="0.25">
      <c r="S456" s="145">
        <v>2</v>
      </c>
      <c r="T456" s="15" t="s">
        <v>280</v>
      </c>
      <c r="Z456" s="144">
        <v>59.8</v>
      </c>
    </row>
    <row r="457" spans="19:27" x14ac:dyDescent="0.25">
      <c r="S457" s="145">
        <v>3</v>
      </c>
    </row>
    <row r="458" spans="19:27" x14ac:dyDescent="0.25">
      <c r="S458" s="145">
        <v>4</v>
      </c>
      <c r="T458" s="15" t="s">
        <v>79</v>
      </c>
      <c r="W458" s="15" t="s">
        <v>80</v>
      </c>
      <c r="AA458" s="144">
        <v>12</v>
      </c>
    </row>
    <row r="459" spans="19:27" x14ac:dyDescent="0.25">
      <c r="S459" s="145">
        <v>5</v>
      </c>
      <c r="T459" s="15" t="s">
        <v>33</v>
      </c>
    </row>
    <row r="460" spans="19:27" x14ac:dyDescent="0.25">
      <c r="S460" s="145">
        <v>6</v>
      </c>
    </row>
    <row r="461" spans="19:27" x14ac:dyDescent="0.25">
      <c r="S461" s="145">
        <v>7</v>
      </c>
    </row>
    <row r="462" spans="19:27" x14ac:dyDescent="0.25">
      <c r="S462" s="145">
        <v>8</v>
      </c>
      <c r="T462" s="49" t="s">
        <v>239</v>
      </c>
      <c r="AA462" s="49">
        <v>6</v>
      </c>
    </row>
    <row r="463" spans="19:27" x14ac:dyDescent="0.25">
      <c r="S463" s="145">
        <v>9</v>
      </c>
      <c r="T463" s="49" t="s">
        <v>52</v>
      </c>
    </row>
    <row r="464" spans="19:27" x14ac:dyDescent="0.25">
      <c r="S464" s="145">
        <v>10</v>
      </c>
      <c r="T464" s="15" t="s">
        <v>56</v>
      </c>
      <c r="AA464" s="49">
        <v>36.9</v>
      </c>
    </row>
    <row r="465" spans="19:27" x14ac:dyDescent="0.25">
      <c r="S465" s="145">
        <v>11</v>
      </c>
      <c r="T465" s="15" t="s">
        <v>59</v>
      </c>
    </row>
    <row r="466" spans="19:27" x14ac:dyDescent="0.25">
      <c r="S466" s="145">
        <v>12</v>
      </c>
      <c r="T466" s="15" t="s">
        <v>60</v>
      </c>
    </row>
    <row r="467" spans="19:27" x14ac:dyDescent="0.25">
      <c r="S467" s="145">
        <v>13</v>
      </c>
      <c r="T467" s="15" t="s">
        <v>117</v>
      </c>
      <c r="AA467" s="49">
        <v>1</v>
      </c>
    </row>
    <row r="468" spans="19:27" x14ac:dyDescent="0.25">
      <c r="S468" s="145">
        <v>14</v>
      </c>
      <c r="T468" s="15" t="s">
        <v>281</v>
      </c>
    </row>
    <row r="469" spans="19:27" x14ac:dyDescent="0.25">
      <c r="S469" s="145">
        <v>15</v>
      </c>
    </row>
    <row r="470" spans="19:27" x14ac:dyDescent="0.25">
      <c r="S470" s="145">
        <v>16</v>
      </c>
      <c r="T470" s="15" t="s">
        <v>237</v>
      </c>
      <c r="AA470" s="49">
        <v>0</v>
      </c>
    </row>
    <row r="471" spans="19:27" x14ac:dyDescent="0.25">
      <c r="S471" s="145">
        <v>17</v>
      </c>
    </row>
    <row r="472" spans="19:27" x14ac:dyDescent="0.25">
      <c r="S472" s="145">
        <v>18</v>
      </c>
      <c r="T472" s="15" t="s">
        <v>135</v>
      </c>
      <c r="AA472" s="49">
        <v>3.9</v>
      </c>
    </row>
    <row r="474" spans="19:27" x14ac:dyDescent="0.25">
      <c r="S474" s="145">
        <v>1</v>
      </c>
      <c r="T474" s="15" t="s">
        <v>279</v>
      </c>
    </row>
    <row r="475" spans="19:27" x14ac:dyDescent="0.25">
      <c r="S475" s="145">
        <v>2</v>
      </c>
      <c r="T475" s="15" t="s">
        <v>280</v>
      </c>
      <c r="Z475" s="144">
        <v>47.8</v>
      </c>
    </row>
    <row r="476" spans="19:27" x14ac:dyDescent="0.25">
      <c r="S476" s="145">
        <v>3</v>
      </c>
    </row>
    <row r="477" spans="19:27" x14ac:dyDescent="0.25">
      <c r="S477" s="145">
        <v>4</v>
      </c>
      <c r="T477" s="15">
        <v>0</v>
      </c>
      <c r="AA477" s="144">
        <v>0</v>
      </c>
    </row>
    <row r="478" spans="19:27" x14ac:dyDescent="0.25">
      <c r="S478" s="145">
        <v>5</v>
      </c>
      <c r="T478" s="15" t="s">
        <v>329</v>
      </c>
    </row>
    <row r="479" spans="19:27" x14ac:dyDescent="0.25">
      <c r="S479" s="145">
        <v>6</v>
      </c>
      <c r="T479" s="15" t="s">
        <v>282</v>
      </c>
    </row>
    <row r="480" spans="19:27" x14ac:dyDescent="0.25">
      <c r="S480" s="145">
        <v>7</v>
      </c>
    </row>
    <row r="481" spans="19:27" x14ac:dyDescent="0.25">
      <c r="S481" s="145">
        <v>8</v>
      </c>
      <c r="T481" s="49" t="s">
        <v>239</v>
      </c>
      <c r="AA481" s="49">
        <v>6</v>
      </c>
    </row>
    <row r="482" spans="19:27" x14ac:dyDescent="0.25">
      <c r="S482" s="145">
        <v>9</v>
      </c>
      <c r="T482" s="49" t="s">
        <v>52</v>
      </c>
    </row>
    <row r="483" spans="19:27" x14ac:dyDescent="0.25">
      <c r="S483" s="145">
        <v>10</v>
      </c>
      <c r="T483" s="15" t="s">
        <v>56</v>
      </c>
      <c r="AA483" s="49">
        <v>36.9</v>
      </c>
    </row>
    <row r="484" spans="19:27" x14ac:dyDescent="0.25">
      <c r="S484" s="145">
        <v>11</v>
      </c>
      <c r="T484" s="15" t="s">
        <v>59</v>
      </c>
    </row>
    <row r="485" spans="19:27" x14ac:dyDescent="0.25">
      <c r="S485" s="145">
        <v>12</v>
      </c>
      <c r="T485" s="15" t="s">
        <v>60</v>
      </c>
    </row>
    <row r="486" spans="19:27" x14ac:dyDescent="0.25">
      <c r="S486" s="145">
        <v>13</v>
      </c>
      <c r="T486" s="15" t="s">
        <v>117</v>
      </c>
      <c r="AA486" s="49">
        <v>1</v>
      </c>
    </row>
    <row r="487" spans="19:27" x14ac:dyDescent="0.25">
      <c r="S487" s="145">
        <v>14</v>
      </c>
      <c r="T487" s="15" t="s">
        <v>281</v>
      </c>
    </row>
    <row r="488" spans="19:27" x14ac:dyDescent="0.25">
      <c r="S488" s="145">
        <v>15</v>
      </c>
    </row>
    <row r="489" spans="19:27" x14ac:dyDescent="0.25">
      <c r="S489" s="145">
        <v>16</v>
      </c>
      <c r="T489" s="15" t="s">
        <v>237</v>
      </c>
      <c r="AA489" s="49">
        <v>0</v>
      </c>
    </row>
    <row r="490" spans="19:27" x14ac:dyDescent="0.25">
      <c r="S490" s="145">
        <v>17</v>
      </c>
    </row>
    <row r="491" spans="19:27" x14ac:dyDescent="0.25">
      <c r="S491" s="145">
        <v>18</v>
      </c>
      <c r="T491" s="15" t="s">
        <v>135</v>
      </c>
      <c r="AA491" s="49">
        <v>3.9</v>
      </c>
    </row>
    <row r="500" spans="1:2" x14ac:dyDescent="0.25">
      <c r="A500" s="15" t="s">
        <v>470</v>
      </c>
    </row>
    <row r="501" spans="1:2" x14ac:dyDescent="0.25">
      <c r="A501" s="15" t="s">
        <v>472</v>
      </c>
    </row>
    <row r="502" spans="1:2" x14ac:dyDescent="0.25">
      <c r="A502" s="15" t="s">
        <v>473</v>
      </c>
    </row>
    <row r="503" spans="1:2" x14ac:dyDescent="0.25">
      <c r="A503" s="15" t="s">
        <v>449</v>
      </c>
      <c r="B503" s="15">
        <v>1</v>
      </c>
    </row>
    <row r="504" spans="1:2" x14ac:dyDescent="0.25">
      <c r="A504" s="15" t="s">
        <v>450</v>
      </c>
      <c r="B504" s="15">
        <v>2</v>
      </c>
    </row>
    <row r="505" spans="1:2" x14ac:dyDescent="0.25">
      <c r="A505" s="15" t="s">
        <v>451</v>
      </c>
      <c r="B505" s="15">
        <v>3</v>
      </c>
    </row>
    <row r="506" spans="1:2" x14ac:dyDescent="0.25">
      <c r="A506" s="15" t="s">
        <v>452</v>
      </c>
      <c r="B506" s="15">
        <v>4</v>
      </c>
    </row>
    <row r="507" spans="1:2" x14ac:dyDescent="0.25">
      <c r="A507" s="15" t="s">
        <v>453</v>
      </c>
      <c r="B507" s="15">
        <v>5</v>
      </c>
    </row>
    <row r="508" spans="1:2" x14ac:dyDescent="0.25">
      <c r="A508" s="15" t="s">
        <v>454</v>
      </c>
      <c r="B508" s="15">
        <v>6</v>
      </c>
    </row>
    <row r="509" spans="1:2" x14ac:dyDescent="0.25">
      <c r="A509" s="15" t="s">
        <v>455</v>
      </c>
      <c r="B509" s="15">
        <v>7</v>
      </c>
    </row>
    <row r="510" spans="1:2" x14ac:dyDescent="0.25">
      <c r="A510" s="15" t="s">
        <v>456</v>
      </c>
      <c r="B510" s="15">
        <v>8</v>
      </c>
    </row>
    <row r="511" spans="1:2" x14ac:dyDescent="0.25">
      <c r="A511" s="15" t="s">
        <v>457</v>
      </c>
      <c r="B511" s="15">
        <v>9</v>
      </c>
    </row>
    <row r="512" spans="1:2" x14ac:dyDescent="0.25">
      <c r="A512" s="15" t="s">
        <v>458</v>
      </c>
      <c r="B512" s="15">
        <v>10</v>
      </c>
    </row>
    <row r="513" spans="1:2" x14ac:dyDescent="0.25">
      <c r="A513" s="15" t="s">
        <v>459</v>
      </c>
      <c r="B513" s="15">
        <v>11</v>
      </c>
    </row>
    <row r="514" spans="1:2" x14ac:dyDescent="0.25">
      <c r="A514" s="15" t="s">
        <v>460</v>
      </c>
      <c r="B514" s="15">
        <v>12</v>
      </c>
    </row>
    <row r="515" spans="1:2" x14ac:dyDescent="0.25">
      <c r="A515" s="15" t="s">
        <v>461</v>
      </c>
      <c r="B515" s="15">
        <v>13</v>
      </c>
    </row>
    <row r="516" spans="1:2" x14ac:dyDescent="0.25">
      <c r="A516" s="15" t="s">
        <v>462</v>
      </c>
      <c r="B516" s="15">
        <v>14</v>
      </c>
    </row>
    <row r="517" spans="1:2" x14ac:dyDescent="0.25">
      <c r="A517" s="15" t="s">
        <v>463</v>
      </c>
      <c r="B517" s="15">
        <v>15</v>
      </c>
    </row>
    <row r="518" spans="1:2" x14ac:dyDescent="0.25">
      <c r="A518" s="15" t="s">
        <v>464</v>
      </c>
      <c r="B518" s="15">
        <v>16</v>
      </c>
    </row>
    <row r="519" spans="1:2" x14ac:dyDescent="0.25">
      <c r="A519" s="15" t="s">
        <v>465</v>
      </c>
      <c r="B519" s="15">
        <v>17</v>
      </c>
    </row>
    <row r="520" spans="1:2" x14ac:dyDescent="0.25">
      <c r="A520" s="15" t="s">
        <v>466</v>
      </c>
      <c r="B520" s="15">
        <v>18</v>
      </c>
    </row>
    <row r="521" spans="1:2" x14ac:dyDescent="0.25">
      <c r="A521" s="15" t="s">
        <v>467</v>
      </c>
      <c r="B521" s="15">
        <v>19</v>
      </c>
    </row>
    <row r="522" spans="1:2" x14ac:dyDescent="0.25">
      <c r="A522" s="15" t="s">
        <v>468</v>
      </c>
      <c r="B522" s="15">
        <v>20</v>
      </c>
    </row>
    <row r="523" spans="1:2" x14ac:dyDescent="0.25">
      <c r="A523" s="15" t="s">
        <v>469</v>
      </c>
      <c r="B523" s="15">
        <v>40</v>
      </c>
    </row>
  </sheetData>
  <sheetProtection algorithmName="SHA-512" hashValue="7+CnC8xKDsbET/pLLihS+G5QzYV3AQTFJs4rIUz6h5Z+xCfMvnJN+TWX5GJTxdWCbdP2SyaDxtrAfA8oxDnAIQ==" saltValue="f6QB8zcCm8P8ZmAkPJUGQQ==" spinCount="100000" sheet="1" objects="1" scenarios="1" selectLockedCells="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I76"/>
  <sheetViews>
    <sheetView showGridLines="0" showRowColHeaders="0" zoomScaleNormal="100" workbookViewId="0">
      <selection activeCell="A3" sqref="A3"/>
    </sheetView>
  </sheetViews>
  <sheetFormatPr defaultRowHeight="15" x14ac:dyDescent="0.25"/>
  <cols>
    <col min="1" max="1" width="112.85546875" customWidth="1"/>
    <col min="2" max="2" width="11.140625" customWidth="1"/>
    <col min="5" max="5" width="8.42578125" customWidth="1"/>
    <col min="7" max="7" width="9.7109375" customWidth="1"/>
    <col min="8" max="8" width="6.28515625" customWidth="1"/>
  </cols>
  <sheetData>
    <row r="1" spans="1:1" x14ac:dyDescent="0.25">
      <c r="A1" s="128" t="s">
        <v>432</v>
      </c>
    </row>
    <row r="2" spans="1:1" x14ac:dyDescent="0.25">
      <c r="A2" s="128"/>
    </row>
    <row r="3" spans="1:1" ht="76.5" x14ac:dyDescent="0.25">
      <c r="A3" s="128" t="s">
        <v>447</v>
      </c>
    </row>
    <row r="4" spans="1:1" ht="51" x14ac:dyDescent="0.25">
      <c r="A4" s="128" t="s">
        <v>448</v>
      </c>
    </row>
    <row r="5" spans="1:1" x14ac:dyDescent="0.25">
      <c r="A5" s="128"/>
    </row>
    <row r="6" spans="1:1" x14ac:dyDescent="0.25">
      <c r="A6" s="128" t="s">
        <v>433</v>
      </c>
    </row>
    <row r="7" spans="1:1" ht="51" x14ac:dyDescent="0.25">
      <c r="A7" s="128" t="s">
        <v>434</v>
      </c>
    </row>
    <row r="8" spans="1:1" x14ac:dyDescent="0.25">
      <c r="A8" s="128"/>
    </row>
    <row r="9" spans="1:1" ht="25.5" x14ac:dyDescent="0.25">
      <c r="A9" s="129" t="s">
        <v>427</v>
      </c>
    </row>
    <row r="10" spans="1:1" x14ac:dyDescent="0.25">
      <c r="A10" s="129"/>
    </row>
    <row r="11" spans="1:1" ht="89.25" x14ac:dyDescent="0.25">
      <c r="A11" s="128" t="s">
        <v>435</v>
      </c>
    </row>
    <row r="12" spans="1:1" ht="25.5" x14ac:dyDescent="0.25">
      <c r="A12" s="128" t="s">
        <v>436</v>
      </c>
    </row>
    <row r="14" spans="1:1" ht="51" x14ac:dyDescent="0.25">
      <c r="A14" s="128" t="s">
        <v>437</v>
      </c>
    </row>
    <row r="15" spans="1:1" x14ac:dyDescent="0.25">
      <c r="A15" s="128"/>
    </row>
    <row r="16" spans="1:1" ht="25.5" x14ac:dyDescent="0.25">
      <c r="A16" s="128" t="s">
        <v>438</v>
      </c>
    </row>
    <row r="17" spans="1:1" x14ac:dyDescent="0.25">
      <c r="A17" s="129"/>
    </row>
    <row r="18" spans="1:1" ht="38.25" x14ac:dyDescent="0.25">
      <c r="A18" s="128" t="s">
        <v>439</v>
      </c>
    </row>
    <row r="19" spans="1:1" x14ac:dyDescent="0.25">
      <c r="A19" s="128"/>
    </row>
    <row r="20" spans="1:1" x14ac:dyDescent="0.25">
      <c r="A20" s="128" t="s">
        <v>440</v>
      </c>
    </row>
    <row r="21" spans="1:1" x14ac:dyDescent="0.25">
      <c r="A21" s="129"/>
    </row>
    <row r="22" spans="1:1" x14ac:dyDescent="0.25">
      <c r="A22" s="129" t="s">
        <v>441</v>
      </c>
    </row>
    <row r="23" spans="1:1" x14ac:dyDescent="0.25">
      <c r="A23" s="128" t="s">
        <v>428</v>
      </c>
    </row>
    <row r="24" spans="1:1" x14ac:dyDescent="0.25">
      <c r="A24" s="129"/>
    </row>
    <row r="25" spans="1:1" x14ac:dyDescent="0.25">
      <c r="A25" s="129" t="s">
        <v>442</v>
      </c>
    </row>
    <row r="26" spans="1:1" x14ac:dyDescent="0.25">
      <c r="A26" s="128" t="s">
        <v>429</v>
      </c>
    </row>
    <row r="27" spans="1:1" x14ac:dyDescent="0.25">
      <c r="A27" s="128"/>
    </row>
    <row r="28" spans="1:1" x14ac:dyDescent="0.25">
      <c r="A28" s="129" t="s">
        <v>443</v>
      </c>
    </row>
    <row r="29" spans="1:1" x14ac:dyDescent="0.25">
      <c r="A29" s="128" t="s">
        <v>428</v>
      </c>
    </row>
    <row r="30" spans="1:1" x14ac:dyDescent="0.25">
      <c r="A30" s="129"/>
    </row>
    <row r="31" spans="1:1" x14ac:dyDescent="0.25">
      <c r="A31" s="129" t="s">
        <v>444</v>
      </c>
    </row>
    <row r="32" spans="1:1" x14ac:dyDescent="0.25">
      <c r="A32" s="128" t="s">
        <v>430</v>
      </c>
    </row>
    <row r="33" spans="1:7" x14ac:dyDescent="0.25">
      <c r="A33" s="129"/>
    </row>
    <row r="34" spans="1:7" ht="25.5" x14ac:dyDescent="0.25">
      <c r="A34" s="128" t="s">
        <v>431</v>
      </c>
    </row>
    <row r="35" spans="1:7" x14ac:dyDescent="0.25">
      <c r="A35" s="128"/>
    </row>
    <row r="36" spans="1:7" ht="38.25" x14ac:dyDescent="0.25">
      <c r="A36" s="128" t="s">
        <v>445</v>
      </c>
    </row>
    <row r="37" spans="1:7" x14ac:dyDescent="0.25">
      <c r="A37" s="128"/>
    </row>
    <row r="38" spans="1:7" ht="38.25" x14ac:dyDescent="0.25">
      <c r="A38" s="128" t="s">
        <v>446</v>
      </c>
    </row>
    <row r="39" spans="1:7" x14ac:dyDescent="0.25">
      <c r="A39" s="128"/>
    </row>
    <row r="40" spans="1:7" x14ac:dyDescent="0.25">
      <c r="A40" s="22"/>
    </row>
    <row r="41" spans="1:7" x14ac:dyDescent="0.25">
      <c r="A41" s="22"/>
    </row>
    <row r="42" spans="1:7" x14ac:dyDescent="0.25">
      <c r="A42" s="22"/>
    </row>
    <row r="43" spans="1:7" x14ac:dyDescent="0.25">
      <c r="A43" s="22"/>
    </row>
    <row r="44" spans="1:7" x14ac:dyDescent="0.25">
      <c r="A44" s="22"/>
      <c r="F44" s="51"/>
    </row>
    <row r="45" spans="1:7" x14ac:dyDescent="0.25">
      <c r="A45" s="22"/>
      <c r="G45" s="51"/>
    </row>
    <row r="46" spans="1:7" x14ac:dyDescent="0.25">
      <c r="A46" s="22"/>
    </row>
    <row r="47" spans="1:7" x14ac:dyDescent="0.25">
      <c r="A47" s="22"/>
    </row>
    <row r="48" spans="1:7" x14ac:dyDescent="0.25">
      <c r="A48" s="22"/>
    </row>
    <row r="49" spans="1:9" x14ac:dyDescent="0.25">
      <c r="A49" s="22"/>
    </row>
    <row r="50" spans="1:9" x14ac:dyDescent="0.25">
      <c r="A50" s="22"/>
    </row>
    <row r="51" spans="1:9" x14ac:dyDescent="0.25">
      <c r="A51" s="22"/>
      <c r="I51" s="51"/>
    </row>
    <row r="52" spans="1:9" x14ac:dyDescent="0.25">
      <c r="A52" s="22"/>
    </row>
    <row r="53" spans="1:9" x14ac:dyDescent="0.25">
      <c r="A53" s="22"/>
    </row>
    <row r="54" spans="1:9" x14ac:dyDescent="0.25">
      <c r="A54" s="22"/>
    </row>
    <row r="55" spans="1:9" x14ac:dyDescent="0.25">
      <c r="A55" s="22"/>
    </row>
    <row r="56" spans="1:9" x14ac:dyDescent="0.25">
      <c r="A56" s="22"/>
    </row>
    <row r="57" spans="1:9" x14ac:dyDescent="0.25">
      <c r="A57" s="22"/>
      <c r="C57" s="51"/>
    </row>
    <row r="58" spans="1:9" x14ac:dyDescent="0.25">
      <c r="A58" s="22"/>
    </row>
    <row r="59" spans="1:9" x14ac:dyDescent="0.25">
      <c r="A59" s="16"/>
    </row>
    <row r="60" spans="1:9" x14ac:dyDescent="0.25">
      <c r="A60" s="16"/>
    </row>
    <row r="61" spans="1:9" x14ac:dyDescent="0.25">
      <c r="A61" s="16"/>
    </row>
    <row r="62" spans="1:9" x14ac:dyDescent="0.25">
      <c r="A62" s="16"/>
    </row>
    <row r="63" spans="1:9" x14ac:dyDescent="0.25">
      <c r="A63" s="16"/>
    </row>
    <row r="64" spans="1:9"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sheetData>
  <sheetProtection algorithmName="SHA-512" hashValue="aSUJAuIu0xG6cqba3uRR81WO9JtiItGqAWdDMEdUNsgHU6zXaaQ19ZtOWwQcc/kJz4shva9IfeYxEyHP8eJ4/g==" saltValue="QNuAkbLkjfufGtO7d9943g==" spinCount="100000" sheet="1" objects="1" scenarios="1" selectLockedCells="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A56"/>
  <sheetViews>
    <sheetView showGridLines="0" showRowColHeaders="0" showZeros="0" zoomScaleNormal="100" zoomScaleSheetLayoutView="100" workbookViewId="0">
      <selection activeCell="I20" sqref="I20"/>
    </sheetView>
  </sheetViews>
  <sheetFormatPr defaultRowHeight="15" x14ac:dyDescent="0.25"/>
  <cols>
    <col min="1" max="1" width="12.7109375" style="67" customWidth="1"/>
    <col min="2" max="2" width="5.28515625" style="67" customWidth="1"/>
    <col min="3" max="3" width="11.85546875" style="67" customWidth="1"/>
    <col min="4" max="4" width="9.140625" style="67"/>
    <col min="5" max="5" width="9.140625" style="67" customWidth="1"/>
    <col min="6" max="7" width="9.140625" style="67"/>
    <col min="8" max="8" width="5" style="67" customWidth="1"/>
    <col min="9" max="9" width="11.85546875" style="67" customWidth="1"/>
    <col min="10" max="10" width="9.140625" style="67"/>
    <col min="11" max="12" width="7.5703125" style="67" customWidth="1"/>
    <col min="13" max="13" width="9" style="67" bestFit="1" customWidth="1"/>
    <col min="14" max="14" width="7.5703125" style="67" bestFit="1" customWidth="1"/>
    <col min="15" max="15" width="10" style="67" customWidth="1"/>
    <col min="16" max="16" width="6.28515625" style="67" customWidth="1"/>
    <col min="17" max="17" width="9.42578125" style="67" customWidth="1"/>
    <col min="18" max="18" width="9.85546875" style="67" customWidth="1"/>
    <col min="19" max="19" width="11.5703125" style="67" bestFit="1" customWidth="1"/>
    <col min="20" max="16384" width="9.140625" style="67"/>
  </cols>
  <sheetData>
    <row r="1" spans="1:27" x14ac:dyDescent="0.25">
      <c r="C1" s="68" t="str">
        <f>"Reservatievoorstel. "&amp;matrixen!B1</f>
        <v>Reservatievoorstel. Prijzen geldig tot 31/03/2023</v>
      </c>
      <c r="K1" s="66" t="s">
        <v>254</v>
      </c>
      <c r="P1" s="69" t="s">
        <v>256</v>
      </c>
      <c r="Q1" s="70">
        <f>E9</f>
        <v>40.699999999999996</v>
      </c>
      <c r="U1" s="71"/>
    </row>
    <row r="2" spans="1:27" ht="15.75" thickBot="1" x14ac:dyDescent="0.3">
      <c r="A2" s="72" t="s">
        <v>180</v>
      </c>
      <c r="C2" s="67">
        <f>'selecteer hier uw barbecue'!F74</f>
        <v>0</v>
      </c>
      <c r="G2" s="68" t="s">
        <v>181</v>
      </c>
      <c r="M2" s="73"/>
      <c r="P2" s="69" t="str">
        <f>IF(Q2&gt;0,"Prijs drankforfait na de maaltijd  21% BTW:","")</f>
        <v/>
      </c>
      <c r="Q2" s="70">
        <f>'selecteer hier uw barbecue'!D58</f>
        <v>0</v>
      </c>
    </row>
    <row r="3" spans="1:27" ht="15.75" thickBot="1" x14ac:dyDescent="0.3">
      <c r="A3" s="72" t="s">
        <v>182</v>
      </c>
      <c r="C3" s="67">
        <f>'selecteer hier uw barbecue'!F75</f>
        <v>0</v>
      </c>
      <c r="G3" s="68" t="s">
        <v>183</v>
      </c>
      <c r="L3" s="74"/>
      <c r="M3" s="75" t="s">
        <v>262</v>
      </c>
      <c r="N3" s="75"/>
      <c r="O3" s="166" t="s">
        <v>268</v>
      </c>
      <c r="P3" s="168" t="str">
        <f>IF(Q2&gt;0,"Drank- forfait:","")</f>
        <v/>
      </c>
      <c r="Q3" s="163" t="s">
        <v>263</v>
      </c>
      <c r="R3" s="166" t="s">
        <v>269</v>
      </c>
    </row>
    <row r="4" spans="1:27" ht="15.75" thickBot="1" x14ac:dyDescent="0.3">
      <c r="A4" s="72" t="s">
        <v>184</v>
      </c>
      <c r="C4" s="67">
        <f>'selecteer hier uw barbecue'!F76</f>
        <v>0</v>
      </c>
      <c r="G4" s="68" t="s">
        <v>185</v>
      </c>
      <c r="K4" s="76" t="s">
        <v>255</v>
      </c>
      <c r="L4" s="91" t="s">
        <v>261</v>
      </c>
      <c r="M4" s="76" t="s">
        <v>409</v>
      </c>
      <c r="N4" s="91" t="s">
        <v>398</v>
      </c>
      <c r="O4" s="167"/>
      <c r="P4" s="169"/>
      <c r="Q4" s="164"/>
      <c r="R4" s="167"/>
    </row>
    <row r="5" spans="1:27" x14ac:dyDescent="0.25">
      <c r="A5" s="72" t="s">
        <v>186</v>
      </c>
      <c r="C5" s="67">
        <f>'selecteer hier uw barbecue'!F77</f>
        <v>0</v>
      </c>
      <c r="G5" s="67" t="s">
        <v>232</v>
      </c>
      <c r="J5" s="67" t="s">
        <v>257</v>
      </c>
      <c r="K5" s="77">
        <f>D9</f>
        <v>10</v>
      </c>
      <c r="L5" s="92">
        <f>Q1-Q2</f>
        <v>40.699999999999996</v>
      </c>
      <c r="M5" s="78">
        <f>ROUND(L5*0.65,2)</f>
        <v>26.46</v>
      </c>
      <c r="N5" s="95">
        <f>L5-M5</f>
        <v>14.239999999999995</v>
      </c>
      <c r="O5" s="100">
        <f>K5*M5</f>
        <v>264.60000000000002</v>
      </c>
      <c r="P5" s="98">
        <f>Q2</f>
        <v>0</v>
      </c>
      <c r="Q5" s="78">
        <f>N5+P5</f>
        <v>14.239999999999995</v>
      </c>
      <c r="R5" s="100">
        <f>K5*Q5</f>
        <v>142.39999999999995</v>
      </c>
    </row>
    <row r="6" spans="1:27" x14ac:dyDescent="0.25">
      <c r="A6" s="72" t="str">
        <f>'selecteer hier uw barbecue'!E79</f>
        <v>reden feest:</v>
      </c>
      <c r="B6" s="79"/>
      <c r="C6" s="80">
        <f>'selecteer hier uw barbecue'!F79</f>
        <v>0</v>
      </c>
      <c r="D6" s="79"/>
      <c r="E6" s="79"/>
      <c r="F6" s="79"/>
      <c r="G6" s="81" t="s">
        <v>187</v>
      </c>
      <c r="J6" s="67" t="s">
        <v>258</v>
      </c>
      <c r="K6" s="77">
        <f>D10</f>
        <v>0</v>
      </c>
      <c r="L6" s="92">
        <f>E10-P6</f>
        <v>20.350000000000001</v>
      </c>
      <c r="M6" s="78">
        <f>ROUND(L6*0.65,2)</f>
        <v>13.23</v>
      </c>
      <c r="N6" s="95">
        <f>L6-M6</f>
        <v>7.120000000000001</v>
      </c>
      <c r="O6" s="100">
        <f>K6*M6</f>
        <v>0</v>
      </c>
      <c r="P6" s="98">
        <f>ROUND(Q2/2,2)</f>
        <v>0</v>
      </c>
      <c r="Q6" s="78">
        <f>N6+P6</f>
        <v>7.120000000000001</v>
      </c>
      <c r="R6" s="100">
        <f>K6*Q6</f>
        <v>0</v>
      </c>
    </row>
    <row r="7" spans="1:27" x14ac:dyDescent="0.25">
      <c r="A7" s="68" t="s">
        <v>188</v>
      </c>
      <c r="C7" s="82">
        <f>'selecteer hier uw barbecue'!F64</f>
        <v>0</v>
      </c>
      <c r="D7" s="72" t="str">
        <f>'selecteer hier uw barbecue'!E78</f>
        <v>email:</v>
      </c>
      <c r="E7" s="67">
        <f>'selecteer hier uw barbecue'!F78</f>
        <v>0</v>
      </c>
      <c r="H7" s="83" t="s">
        <v>191</v>
      </c>
      <c r="I7" s="76">
        <f>'selecteer hier uw barbecue'!F71</f>
        <v>0</v>
      </c>
      <c r="J7" s="67" t="s">
        <v>259</v>
      </c>
      <c r="K7" s="77">
        <f>D11</f>
        <v>0</v>
      </c>
      <c r="L7" s="92">
        <f>E11-P7</f>
        <v>13.57</v>
      </c>
      <c r="M7" s="78">
        <f>ROUND(L7*0.65,2)</f>
        <v>8.82</v>
      </c>
      <c r="N7" s="95">
        <f>L7-M7</f>
        <v>4.75</v>
      </c>
      <c r="O7" s="100">
        <f>K7*M7</f>
        <v>0</v>
      </c>
      <c r="P7" s="98">
        <f>ROUND(Q2/3,2)</f>
        <v>0</v>
      </c>
      <c r="Q7" s="78">
        <f>N7+P7</f>
        <v>4.75</v>
      </c>
      <c r="R7" s="100">
        <f>K7*Q7</f>
        <v>0</v>
      </c>
    </row>
    <row r="8" spans="1:27" ht="15.75" thickBot="1" x14ac:dyDescent="0.3">
      <c r="A8" s="81" t="s">
        <v>189</v>
      </c>
      <c r="D8" s="76">
        <f>D9+D10+D11+D12</f>
        <v>10</v>
      </c>
      <c r="E8" s="69" t="s">
        <v>190</v>
      </c>
      <c r="H8" s="83" t="s">
        <v>193</v>
      </c>
      <c r="I8" s="76">
        <f>'selecteer hier uw barbecue'!F72</f>
        <v>0</v>
      </c>
      <c r="J8" s="67" t="s">
        <v>260</v>
      </c>
      <c r="K8" s="77">
        <f>D12</f>
        <v>0</v>
      </c>
      <c r="L8" s="93" t="str">
        <f>E12</f>
        <v>0,00</v>
      </c>
      <c r="M8" s="107">
        <f>L8*0.65</f>
        <v>0</v>
      </c>
      <c r="N8" s="96">
        <f>L8*0.35</f>
        <v>0</v>
      </c>
      <c r="O8" s="101">
        <f>K8*M8</f>
        <v>0</v>
      </c>
      <c r="P8" s="99"/>
      <c r="Q8" s="77">
        <f>N8+P8</f>
        <v>0</v>
      </c>
      <c r="R8" s="101">
        <f>K8*Q8</f>
        <v>0</v>
      </c>
    </row>
    <row r="9" spans="1:27" ht="15.75" thickBot="1" x14ac:dyDescent="0.3">
      <c r="C9" s="83" t="s">
        <v>192</v>
      </c>
      <c r="D9" s="76">
        <f>'selecteer hier uw barbecue'!F66</f>
        <v>10</v>
      </c>
      <c r="E9" s="70">
        <f>'selecteer hier uw barbecue'!D7</f>
        <v>40.699999999999996</v>
      </c>
      <c r="H9" s="69" t="s">
        <v>215</v>
      </c>
      <c r="I9" s="84">
        <f>D9*E9+D10*E10+D11*E11+D12*E12+D13</f>
        <v>406.99999999999994</v>
      </c>
      <c r="L9" s="94" t="s">
        <v>267</v>
      </c>
      <c r="M9" s="108"/>
      <c r="P9" s="97" t="str">
        <f>IF(Q9&gt;0,"Huur zaal/exclusiviteit: ","")</f>
        <v xml:space="preserve">Huur zaal/exclusiviteit: </v>
      </c>
      <c r="Q9" s="78">
        <f>I11+I12</f>
        <v>843</v>
      </c>
    </row>
    <row r="10" spans="1:27" ht="15.75" thickBot="1" x14ac:dyDescent="0.3">
      <c r="C10" s="83" t="s">
        <v>194</v>
      </c>
      <c r="D10" s="76">
        <f>'selecteer hier uw barbecue'!F67</f>
        <v>0</v>
      </c>
      <c r="E10" s="70">
        <f>'selecteer hier uw barbecue'!J7</f>
        <v>20.350000000000001</v>
      </c>
      <c r="H10" s="69" t="s">
        <v>213</v>
      </c>
      <c r="I10" s="84">
        <f>'selecteer hier uw barbecue'!F81</f>
        <v>0</v>
      </c>
      <c r="L10" s="69" t="s">
        <v>277</v>
      </c>
      <c r="M10" s="170"/>
      <c r="N10" s="171"/>
      <c r="Z10" s="70"/>
    </row>
    <row r="11" spans="1:27" ht="15" customHeight="1" x14ac:dyDescent="0.25">
      <c r="C11" s="83" t="s">
        <v>195</v>
      </c>
      <c r="D11" s="76">
        <f>'selecteer hier uw barbecue'!F68</f>
        <v>0</v>
      </c>
      <c r="E11" s="70">
        <f>'selecteer hier uw barbecue'!H7</f>
        <v>13.57</v>
      </c>
      <c r="H11" s="69" t="s">
        <v>214</v>
      </c>
      <c r="I11" s="84">
        <f>IF(D9+D10+D11+D12=0,0,IF((I9+I10)&lt;matrixen!E4,matrixen!E4-I9-I10,0))</f>
        <v>843</v>
      </c>
      <c r="L11" s="69" t="str">
        <f>IF(M9&gt;0,"Voorschot uitgesplitst:","")</f>
        <v/>
      </c>
      <c r="M11" s="70" t="str">
        <f>IF(M9&gt;0," € "&amp;M9*0.65 &amp; " x 12% =&gt; Dep. B  en € " &amp; M9*0.35 &amp; " x 21% =&gt; Dep. A.","")</f>
        <v/>
      </c>
      <c r="N11" s="70"/>
      <c r="S11" s="102"/>
      <c r="T11" s="102"/>
      <c r="U11" s="102"/>
      <c r="V11" s="102"/>
      <c r="W11" s="102"/>
      <c r="X11" s="102"/>
    </row>
    <row r="12" spans="1:27" ht="15.75" thickBot="1" x14ac:dyDescent="0.3">
      <c r="C12" s="83" t="s">
        <v>196</v>
      </c>
      <c r="D12" s="76">
        <f>'selecteer hier uw barbecue'!F69</f>
        <v>0</v>
      </c>
      <c r="E12" s="85" t="str">
        <f>'selecteer hier uw barbecue'!F7</f>
        <v>0,00</v>
      </c>
      <c r="H12" s="69" t="str">
        <f>IF(I12&gt;0,"U koos exclusiviteit: ","")</f>
        <v/>
      </c>
      <c r="I12" s="84">
        <f>'selecteer hier uw barbecue'!L87</f>
        <v>0</v>
      </c>
      <c r="M12" s="69" t="s">
        <v>270</v>
      </c>
      <c r="N12" s="76">
        <f>IF(M9&gt;0,ROUNDUP((M9+1)/L5,0),0)</f>
        <v>0</v>
      </c>
      <c r="O12" s="70" t="s">
        <v>273</v>
      </c>
      <c r="S12" s="102"/>
      <c r="T12" s="102"/>
      <c r="U12" s="102"/>
      <c r="V12" s="102"/>
      <c r="W12" s="102"/>
      <c r="X12" s="102"/>
      <c r="Y12" s="70"/>
      <c r="AA12" s="65"/>
    </row>
    <row r="13" spans="1:27" ht="15.75" thickBot="1" x14ac:dyDescent="0.3">
      <c r="C13" s="69"/>
      <c r="D13" s="84"/>
      <c r="H13" s="69" t="s">
        <v>265</v>
      </c>
      <c r="I13" s="120">
        <f>I9+I10+I11+I12</f>
        <v>1250</v>
      </c>
      <c r="J13" s="178" t="s">
        <v>274</v>
      </c>
      <c r="K13" s="179"/>
      <c r="L13" s="180"/>
      <c r="M13" s="175" t="str">
        <f>IF(M9*0.65 &gt;N12*M5,"ONMOGELIJK U bekomt negatieve waarden.","")</f>
        <v/>
      </c>
      <c r="N13" s="175"/>
      <c r="O13" s="175"/>
      <c r="P13" s="175"/>
      <c r="Q13" s="175"/>
      <c r="R13" s="111"/>
      <c r="S13" s="102"/>
      <c r="T13" s="102"/>
      <c r="U13" s="102"/>
      <c r="V13" s="102"/>
      <c r="W13" s="102"/>
      <c r="X13" s="102"/>
      <c r="Y13" s="70"/>
      <c r="AA13" s="65"/>
    </row>
    <row r="14" spans="1:27" x14ac:dyDescent="0.25">
      <c r="B14" s="83"/>
      <c r="H14" s="69" t="s">
        <v>238</v>
      </c>
      <c r="I14" s="84">
        <f>'selecteer hier uw barbecue'!F86</f>
        <v>1225</v>
      </c>
      <c r="J14" s="112">
        <f>N12</f>
        <v>0</v>
      </c>
      <c r="K14" s="110" t="s">
        <v>275</v>
      </c>
      <c r="L14" s="110" t="s">
        <v>271</v>
      </c>
      <c r="M14" s="104" t="str">
        <f>IFERROR(M5-M9*0.65/N12,"")</f>
        <v/>
      </c>
      <c r="N14" s="105">
        <v>0.12</v>
      </c>
      <c r="O14" s="104" t="str">
        <f>IFERROR(J14*M14,"")</f>
        <v/>
      </c>
      <c r="P14" s="103" t="s">
        <v>268</v>
      </c>
      <c r="Q14" s="109" t="s">
        <v>276</v>
      </c>
      <c r="R14" s="113"/>
      <c r="S14" s="102"/>
      <c r="T14" s="102"/>
      <c r="U14" s="102"/>
      <c r="V14" s="102"/>
      <c r="W14" s="102"/>
      <c r="X14" s="102"/>
      <c r="Y14" s="70"/>
    </row>
    <row r="15" spans="1:27" x14ac:dyDescent="0.25">
      <c r="D15" s="72" t="s">
        <v>197</v>
      </c>
      <c r="E15" s="183" t="str">
        <f>'selecteer hier uw barbecue'!K88</f>
        <v>geen voorkeur</v>
      </c>
      <c r="F15" s="183"/>
      <c r="G15" s="183"/>
      <c r="H15" s="183"/>
      <c r="I15" s="184"/>
      <c r="J15" s="172" t="str">
        <f>IFERROR( " Er wordt € " &amp; ROUND(M9*0.65/N12,2) &amp; " minder geboekt bij " &amp; N12 &amp; " personen omdat dit reeds als voorschot werd geboekt.","")</f>
        <v/>
      </c>
      <c r="K15" s="173"/>
      <c r="L15" s="173"/>
      <c r="M15" s="173"/>
      <c r="N15" s="173"/>
      <c r="O15" s="173"/>
      <c r="P15" s="173"/>
      <c r="Q15" s="173"/>
      <c r="R15" s="174"/>
      <c r="S15" s="102"/>
      <c r="T15" s="102"/>
      <c r="U15" s="102"/>
      <c r="V15" s="102"/>
      <c r="W15" s="102"/>
      <c r="X15" s="102"/>
    </row>
    <row r="16" spans="1:27" x14ac:dyDescent="0.25">
      <c r="I16" s="83" t="str">
        <f>'selecteer hier uw barbecue'!B20</f>
        <v>De gast die een extra aperitief bestelt betaalt deze zelf</v>
      </c>
      <c r="J16" s="114">
        <f>N12</f>
        <v>0</v>
      </c>
      <c r="K16" s="103" t="s">
        <v>275</v>
      </c>
      <c r="L16" s="103" t="s">
        <v>271</v>
      </c>
      <c r="M16" s="104" t="str">
        <f>IFERROR(Q5-M9*0.35/N12,"")</f>
        <v/>
      </c>
      <c r="N16" s="105">
        <v>0.21</v>
      </c>
      <c r="O16" s="104" t="str">
        <f>IFERROR(J16*M16,"")</f>
        <v/>
      </c>
      <c r="P16" s="103" t="s">
        <v>269</v>
      </c>
      <c r="Q16" s="109" t="s">
        <v>276</v>
      </c>
      <c r="R16" s="113"/>
      <c r="S16" s="102"/>
      <c r="T16" s="102"/>
      <c r="U16" s="102"/>
      <c r="V16" s="102"/>
      <c r="W16" s="102"/>
      <c r="X16" s="102"/>
    </row>
    <row r="17" spans="1:26" ht="15" customHeight="1" x14ac:dyDescent="0.25">
      <c r="A17" s="86" t="str">
        <f>'selecteer hier uw barbecue'!H65</f>
        <v/>
      </c>
      <c r="I17" s="83" t="str">
        <f>IF(M9&gt;0," Uw voorschot van € " &amp; M9 &amp; " wordt nog in mindering gebracht","")</f>
        <v/>
      </c>
      <c r="J17" s="172" t="str">
        <f>IFERROR( " Er wordt € " &amp; ROUND(M9*0.35/N12,2) &amp; " minder geboekt bij " &amp; N12 &amp; " personen omdat dit reeds als voorschot werd geboekt.","")</f>
        <v/>
      </c>
      <c r="K17" s="173"/>
      <c r="L17" s="173"/>
      <c r="M17" s="173"/>
      <c r="N17" s="173"/>
      <c r="O17" s="173"/>
      <c r="P17" s="173"/>
      <c r="Q17" s="173"/>
      <c r="R17" s="174"/>
      <c r="X17" s="70"/>
      <c r="Y17" s="70"/>
    </row>
    <row r="18" spans="1:26" x14ac:dyDescent="0.25">
      <c r="A18" s="130" t="str">
        <f>'selecteer hier uw barbecue'!H66</f>
        <v/>
      </c>
      <c r="I18" s="69" t="str">
        <f>'selecteer hier uw barbecue'!G62</f>
        <v>Keuze achtergrondmuziek:</v>
      </c>
      <c r="J18" s="114">
        <f>K5-J14</f>
        <v>10</v>
      </c>
      <c r="K18" s="103" t="str">
        <f>K14</f>
        <v>vol</v>
      </c>
      <c r="L18" s="103" t="s">
        <v>271</v>
      </c>
      <c r="M18" s="104">
        <f>M5</f>
        <v>26.46</v>
      </c>
      <c r="N18" s="105">
        <f>N14</f>
        <v>0.12</v>
      </c>
      <c r="O18" s="104">
        <f t="shared" ref="O18:O23" si="0">J18*M18</f>
        <v>264.60000000000002</v>
      </c>
      <c r="P18" s="103" t="s">
        <v>268</v>
      </c>
      <c r="Q18" s="86"/>
      <c r="R18" s="113"/>
    </row>
    <row r="19" spans="1:26" x14ac:dyDescent="0.25">
      <c r="A19" s="86">
        <f>'selecteer hier uw barbecue'!H67</f>
        <v>0</v>
      </c>
      <c r="I19" s="69" t="str">
        <f>'selecteer hier uw barbecue'!H62</f>
        <v>Geen voorkeur</v>
      </c>
      <c r="J19" s="114">
        <f>K5-J16</f>
        <v>10</v>
      </c>
      <c r="K19" s="103" t="str">
        <f>K16</f>
        <v>vol</v>
      </c>
      <c r="L19" s="103" t="s">
        <v>271</v>
      </c>
      <c r="M19" s="104">
        <f>Q5</f>
        <v>14.239999999999995</v>
      </c>
      <c r="N19" s="105">
        <v>0.21</v>
      </c>
      <c r="O19" s="104">
        <f t="shared" si="0"/>
        <v>142.39999999999995</v>
      </c>
      <c r="P19" s="103" t="s">
        <v>269</v>
      </c>
      <c r="Q19" s="86"/>
      <c r="R19" s="113"/>
    </row>
    <row r="20" spans="1:26" x14ac:dyDescent="0.25">
      <c r="A20" s="87">
        <f>'selecteer hier uw barbecue'!H71</f>
        <v>0</v>
      </c>
      <c r="B20" s="87"/>
      <c r="C20" s="87"/>
      <c r="D20" s="87"/>
      <c r="E20" s="87"/>
      <c r="F20" s="87"/>
      <c r="G20" s="87"/>
      <c r="H20" s="87"/>
      <c r="I20" s="87">
        <f>VLOOKUP(I19,matrixen!A500:B523,2,FALSE)</f>
        <v>0</v>
      </c>
      <c r="J20" s="114">
        <f>K6</f>
        <v>0</v>
      </c>
      <c r="K20" s="103" t="str">
        <f>J6</f>
        <v>JR 1/2</v>
      </c>
      <c r="L20" s="103" t="s">
        <v>271</v>
      </c>
      <c r="M20" s="104">
        <f>M6</f>
        <v>13.23</v>
      </c>
      <c r="N20" s="105">
        <f>N14</f>
        <v>0.12</v>
      </c>
      <c r="O20" s="104">
        <f t="shared" si="0"/>
        <v>0</v>
      </c>
      <c r="P20" s="103" t="s">
        <v>268</v>
      </c>
      <c r="Q20" s="86"/>
      <c r="R20" s="113"/>
      <c r="S20" s="86"/>
      <c r="Z20" s="70"/>
    </row>
    <row r="21" spans="1:26" x14ac:dyDescent="0.25">
      <c r="C21" s="14" t="s">
        <v>212</v>
      </c>
      <c r="J21" s="114">
        <f>K6</f>
        <v>0</v>
      </c>
      <c r="K21" s="103" t="str">
        <f>J6</f>
        <v>JR 1/2</v>
      </c>
      <c r="L21" s="103" t="s">
        <v>271</v>
      </c>
      <c r="M21" s="104">
        <f>Q6</f>
        <v>7.120000000000001</v>
      </c>
      <c r="N21" s="105">
        <v>0.21</v>
      </c>
      <c r="O21" s="104">
        <f t="shared" si="0"/>
        <v>0</v>
      </c>
      <c r="P21" s="103" t="s">
        <v>269</v>
      </c>
      <c r="Q21" s="86"/>
      <c r="R21" s="113"/>
      <c r="Z21" s="70"/>
    </row>
    <row r="22" spans="1:26" x14ac:dyDescent="0.25">
      <c r="A22" s="67" t="str">
        <f>'selecteer hier uw barbecue'!H69</f>
        <v>Aardappel in de pel</v>
      </c>
      <c r="J22" s="114">
        <f>K7</f>
        <v>0</v>
      </c>
      <c r="K22" s="103" t="str">
        <f>J7</f>
        <v>JR 1/3</v>
      </c>
      <c r="L22" s="103" t="s">
        <v>271</v>
      </c>
      <c r="M22" s="104">
        <f>M7</f>
        <v>8.82</v>
      </c>
      <c r="N22" s="105">
        <f>N14</f>
        <v>0.12</v>
      </c>
      <c r="O22" s="104">
        <f t="shared" si="0"/>
        <v>0</v>
      </c>
      <c r="P22" s="103" t="s">
        <v>268</v>
      </c>
      <c r="Q22" s="86"/>
      <c r="R22" s="113"/>
    </row>
    <row r="23" spans="1:26" x14ac:dyDescent="0.25">
      <c r="A23" s="67" t="str">
        <f>'selecteer hier uw barbecue'!H70</f>
        <v>groenten en sausen</v>
      </c>
      <c r="D23" s="67" t="str">
        <f>IF('selecteer hier uw barbecue'!F33='selecteer hier uw barbecue'!AA40,"Als voorgerecht een halve kreeft met kruidenboter","")</f>
        <v/>
      </c>
      <c r="J23" s="115">
        <f>K7</f>
        <v>0</v>
      </c>
      <c r="K23" s="103" t="str">
        <f>J7</f>
        <v>JR 1/3</v>
      </c>
      <c r="L23" s="103" t="s">
        <v>271</v>
      </c>
      <c r="M23" s="104">
        <f>Q7</f>
        <v>4.75</v>
      </c>
      <c r="N23" s="105">
        <v>0.21</v>
      </c>
      <c r="O23" s="104">
        <f t="shared" si="0"/>
        <v>0</v>
      </c>
      <c r="P23" s="103" t="s">
        <v>269</v>
      </c>
      <c r="Q23" s="86"/>
      <c r="R23" s="113"/>
      <c r="T23" s="86"/>
      <c r="U23" s="86"/>
      <c r="V23" s="86"/>
    </row>
    <row r="24" spans="1:26" ht="20.25" thickBot="1" x14ac:dyDescent="0.35">
      <c r="J24" s="116" t="str">
        <f>IF(L24&gt;0,"1",0)</f>
        <v>1</v>
      </c>
      <c r="K24" s="117" t="str">
        <f>IF(L24&gt;0,"x","")</f>
        <v>x</v>
      </c>
      <c r="L24" s="118">
        <f>Q9</f>
        <v>843</v>
      </c>
      <c r="M24" s="119" t="str">
        <f>IF(L24&gt;0,"21%","")</f>
        <v>21%</v>
      </c>
      <c r="N24" s="117" t="str">
        <f>IF(L24&gt;0,"Dep. A","")</f>
        <v>Dep. A</v>
      </c>
      <c r="O24" s="176" t="str">
        <f>P9</f>
        <v xml:space="preserve">Huur zaal/exclusiviteit: </v>
      </c>
      <c r="P24" s="176"/>
      <c r="Q24" s="176"/>
      <c r="R24" s="177"/>
      <c r="Z24" s="88"/>
    </row>
    <row r="25" spans="1:26" ht="19.5" x14ac:dyDescent="0.3">
      <c r="A25" s="73" t="str">
        <f>'selecteer hier uw barbecue'!J74</f>
        <v/>
      </c>
      <c r="I25" s="69" t="str">
        <f>'selecteer hier uw barbecue'!H74</f>
        <v/>
      </c>
      <c r="K25" s="106" t="s">
        <v>272</v>
      </c>
      <c r="L25" s="70">
        <f>SUM(O14:O23)+L24+M9+I10</f>
        <v>1250</v>
      </c>
      <c r="M25" s="70" t="str">
        <f>IF(SUM(O14:O23)+L24+M9+I10 &lt;&gt;I13," Er is iets fout met de splitsingstabel","")</f>
        <v/>
      </c>
      <c r="Z25" s="88"/>
    </row>
    <row r="26" spans="1:26" ht="19.5" x14ac:dyDescent="0.3">
      <c r="A26" s="73" t="str">
        <f>'selecteer hier uw barbecue'!J75</f>
        <v/>
      </c>
      <c r="I26" s="69" t="str">
        <f>'selecteer hier uw barbecue'!H75</f>
        <v/>
      </c>
      <c r="J26" s="165" t="str">
        <f>"De eventuele korting contant van 2 %, in het huidig voorstel is dit € " &amp; ROUND(I13-I14,2) &amp; " is nog niet in bovenstaande splitsing verwerkt."</f>
        <v>De eventuele korting contant van 2 %, in het huidig voorstel is dit € 25 is nog niet in bovenstaande splitsing verwerkt.</v>
      </c>
      <c r="K26" s="165"/>
      <c r="L26" s="165"/>
      <c r="M26" s="165"/>
      <c r="N26" s="165"/>
      <c r="O26" s="165"/>
      <c r="P26" s="165"/>
      <c r="Q26" s="165"/>
      <c r="R26" s="165"/>
      <c r="Z26" s="88"/>
    </row>
    <row r="27" spans="1:26" ht="15.75" thickBot="1" x14ac:dyDescent="0.3">
      <c r="A27" s="73" t="str">
        <f>'selecteer hier uw barbecue'!J76</f>
        <v/>
      </c>
      <c r="I27" s="69" t="str">
        <f>'selecteer hier uw barbecue'!H76</f>
        <v/>
      </c>
      <c r="J27" s="181"/>
      <c r="K27" s="181"/>
      <c r="L27" s="181"/>
      <c r="M27" s="181"/>
      <c r="N27" s="181"/>
      <c r="O27" s="181"/>
      <c r="P27" s="181"/>
      <c r="Q27" s="181"/>
      <c r="R27" s="181"/>
    </row>
    <row r="28" spans="1:26" ht="15.75" thickTop="1" x14ac:dyDescent="0.25">
      <c r="A28" s="73" t="str">
        <f>'selecteer hier uw barbecue'!J77</f>
        <v/>
      </c>
      <c r="I28" s="69" t="str">
        <f>'selecteer hier uw barbecue'!H77</f>
        <v/>
      </c>
      <c r="J28" s="14" t="str">
        <f>IF(J29&lt;&gt;"","Detail van het aperitief:","")</f>
        <v/>
      </c>
      <c r="P28" s="67">
        <f>'selecteer hier uw barbecue'!F18</f>
        <v>0</v>
      </c>
    </row>
    <row r="29" spans="1:26" x14ac:dyDescent="0.25">
      <c r="A29" s="73" t="str">
        <f>'selecteer hier uw barbecue'!J78</f>
        <v/>
      </c>
      <c r="I29" s="69" t="str">
        <f>'selecteer hier uw barbecue'!H78</f>
        <v/>
      </c>
      <c r="J29" s="67" t="str">
        <f>A17</f>
        <v/>
      </c>
      <c r="M29" s="67">
        <f>'selecteer hier uw barbecue'!F15</f>
        <v>0</v>
      </c>
      <c r="P29" s="67">
        <f>'selecteer hier uw barbecue'!F19</f>
        <v>0</v>
      </c>
    </row>
    <row r="30" spans="1:26" x14ac:dyDescent="0.25">
      <c r="J30" s="67">
        <f>'selecteer hier uw barbecue'!F13</f>
        <v>0</v>
      </c>
      <c r="M30" s="67">
        <f>'selecteer hier uw barbecue'!F16</f>
        <v>0</v>
      </c>
      <c r="P30" s="67">
        <f>'selecteer hier uw barbecue'!F20</f>
        <v>0</v>
      </c>
      <c r="U30" s="70"/>
      <c r="W30" s="70"/>
      <c r="X30" s="70"/>
      <c r="Y30" s="70"/>
    </row>
    <row r="31" spans="1:26" x14ac:dyDescent="0.25">
      <c r="A31" s="67">
        <f>'selecteer hier uw barbecue'!L72</f>
        <v>0</v>
      </c>
      <c r="I31" s="69">
        <f>'selecteer hier uw barbecue'!L73</f>
        <v>0</v>
      </c>
      <c r="J31" s="67">
        <f>'selecteer hier uw barbecue'!F14</f>
        <v>0</v>
      </c>
      <c r="M31" s="67">
        <f>'selecteer hier uw barbecue'!F17</f>
        <v>0</v>
      </c>
      <c r="P31" s="67">
        <f>'selecteer hier uw barbecue'!F21</f>
        <v>0</v>
      </c>
    </row>
    <row r="32" spans="1:26" x14ac:dyDescent="0.25">
      <c r="J32" s="67" t="str">
        <f>'selecteer hier uw barbecue'!G24</f>
        <v/>
      </c>
    </row>
    <row r="33" spans="1:17" x14ac:dyDescent="0.25">
      <c r="A33" s="185" t="str">
        <f>'selecteer hier uw barbecue'!H80</f>
        <v>Huiswijn, bieren en frisdranken als forfait</v>
      </c>
      <c r="B33" s="185"/>
      <c r="C33" s="185"/>
      <c r="D33" s="185"/>
      <c r="E33" s="185"/>
      <c r="F33" s="185"/>
      <c r="G33" s="185"/>
      <c r="H33" s="185"/>
      <c r="I33" s="185"/>
      <c r="J33" s="67">
        <f>'selecteer hier uw barbecue'!G13</f>
        <v>0</v>
      </c>
    </row>
    <row r="34" spans="1:17" x14ac:dyDescent="0.25">
      <c r="A34" s="67" t="str">
        <f>'selecteer hier uw barbecue'!H81</f>
        <v/>
      </c>
      <c r="J34" s="67">
        <f>'selecteer hier uw barbecue'!G14</f>
        <v>0</v>
      </c>
    </row>
    <row r="35" spans="1:17" x14ac:dyDescent="0.25">
      <c r="A35" s="186" t="str">
        <f>'selecteer hier uw barbecue'!H82</f>
        <v/>
      </c>
      <c r="B35" s="186"/>
      <c r="C35" s="186"/>
      <c r="J35" s="67">
        <f>'selecteer hier uw barbecue'!G15</f>
        <v>0</v>
      </c>
      <c r="Q35" s="67">
        <f>'selecteer hier uw barbecue'!F24</f>
        <v>0</v>
      </c>
    </row>
    <row r="36" spans="1:17" x14ac:dyDescent="0.25">
      <c r="A36" s="67" t="str">
        <f>'selecteer hier uw barbecue'!B62</f>
        <v>Elke gast die na de maaltijd een drankje bestelt rekent direct af aan de bar</v>
      </c>
      <c r="J36" s="67">
        <f>'selecteer hier uw barbecue'!G16</f>
        <v>0</v>
      </c>
    </row>
    <row r="37" spans="1:17" ht="15" customHeight="1" x14ac:dyDescent="0.25">
      <c r="A37" s="182" t="str">
        <f>'selecteer hier uw barbecue'!K90</f>
        <v>Betaling op de dag zelf (cash of bancontact), u bekomt 2% korting op het totaal</v>
      </c>
      <c r="B37" s="182"/>
      <c r="C37" s="182"/>
      <c r="D37" s="182"/>
      <c r="E37" s="182"/>
      <c r="F37" s="182"/>
      <c r="G37" s="182"/>
      <c r="H37" s="182"/>
      <c r="I37" s="121"/>
      <c r="J37" s="67">
        <f>'selecteer hier uw barbecue'!G17</f>
        <v>0</v>
      </c>
    </row>
    <row r="38" spans="1:17" x14ac:dyDescent="0.25">
      <c r="A38" s="182"/>
      <c r="B38" s="182"/>
      <c r="C38" s="182"/>
      <c r="D38" s="182"/>
      <c r="E38" s="182"/>
      <c r="F38" s="182"/>
      <c r="G38" s="182"/>
      <c r="H38" s="182"/>
      <c r="I38" s="121"/>
      <c r="J38" s="67">
        <f>'selecteer hier uw barbecue'!G18</f>
        <v>0</v>
      </c>
    </row>
    <row r="39" spans="1:17" x14ac:dyDescent="0.25">
      <c r="A39" s="76" t="s">
        <v>153</v>
      </c>
      <c r="B39" s="76" t="str">
        <f>'selecteer hier uw barbecue'!G58</f>
        <v>nee</v>
      </c>
      <c r="D39" s="69" t="s">
        <v>155</v>
      </c>
      <c r="E39" s="76" t="str">
        <f>'selecteer hier uw barbecue'!I58</f>
        <v>nee</v>
      </c>
      <c r="G39" s="68"/>
      <c r="H39" s="69" t="s">
        <v>152</v>
      </c>
      <c r="I39" s="76" t="str">
        <f>'selecteer hier uw barbecue'!G60</f>
        <v>nee</v>
      </c>
      <c r="J39" s="67">
        <f>'selecteer hier uw barbecue'!G19</f>
        <v>0</v>
      </c>
    </row>
    <row r="40" spans="1:17" x14ac:dyDescent="0.25">
      <c r="A40" s="90" t="s">
        <v>266</v>
      </c>
      <c r="B40" s="76" t="str">
        <f>'selecteer hier uw barbecue'!K92</f>
        <v>nee</v>
      </c>
      <c r="D40" s="69" t="s">
        <v>156</v>
      </c>
      <c r="E40" s="76" t="str">
        <f>'selecteer hier uw barbecue'!K58</f>
        <v>nee</v>
      </c>
      <c r="H40" s="69" t="str">
        <f>'selecteer hier uw barbecue'!H60</f>
        <v xml:space="preserve">Allergenen: </v>
      </c>
      <c r="I40" s="76" t="str">
        <f>'selecteer hier uw barbecue'!I60</f>
        <v>nee</v>
      </c>
      <c r="J40" s="67">
        <f>'selecteer hier uw barbecue'!G20</f>
        <v>0</v>
      </c>
    </row>
    <row r="41" spans="1:17" x14ac:dyDescent="0.25">
      <c r="A41" s="165" t="str">
        <f>"Opmerking: " &amp;'selecteer hier uw barbecue'!F80</f>
        <v xml:space="preserve">Opmerking: </v>
      </c>
      <c r="B41" s="165"/>
      <c r="C41" s="165"/>
      <c r="D41" s="165"/>
      <c r="E41" s="165"/>
      <c r="F41" s="165"/>
      <c r="G41" s="165"/>
      <c r="H41" s="165"/>
      <c r="I41" s="165"/>
      <c r="J41" s="67">
        <f>'selecteer hier uw barbecue'!G21</f>
        <v>0</v>
      </c>
    </row>
    <row r="42" spans="1:17" ht="15" customHeight="1" x14ac:dyDescent="0.25">
      <c r="A42" s="165"/>
      <c r="B42" s="165"/>
      <c r="C42" s="165"/>
      <c r="D42" s="165"/>
      <c r="E42" s="165"/>
      <c r="F42" s="165"/>
      <c r="G42" s="165"/>
      <c r="H42" s="165"/>
      <c r="I42" s="165"/>
      <c r="J42" s="67">
        <f>'selecteer hier uw barbecue'!G22</f>
        <v>0</v>
      </c>
    </row>
    <row r="43" spans="1:17" x14ac:dyDescent="0.25">
      <c r="A43" s="165"/>
      <c r="B43" s="165"/>
      <c r="C43" s="165"/>
      <c r="D43" s="165"/>
      <c r="E43" s="165"/>
      <c r="F43" s="165"/>
      <c r="G43" s="165"/>
      <c r="H43" s="165"/>
      <c r="I43" s="165"/>
      <c r="J43" s="67">
        <f>'selecteer hier uw barbecue'!G23</f>
        <v>0</v>
      </c>
    </row>
    <row r="44" spans="1:17" x14ac:dyDescent="0.25">
      <c r="A44" s="165"/>
      <c r="B44" s="165"/>
      <c r="C44" s="165"/>
      <c r="D44" s="165"/>
      <c r="E44" s="165"/>
      <c r="F44" s="165"/>
      <c r="G44" s="165"/>
      <c r="H44" s="165"/>
      <c r="I44" s="165"/>
      <c r="J44" s="14" t="str">
        <f>IF(A34&lt;&gt;"","Detail van het dessert:","")</f>
        <v/>
      </c>
    </row>
    <row r="45" spans="1:17" x14ac:dyDescent="0.25">
      <c r="A45" s="68" t="s">
        <v>198</v>
      </c>
      <c r="I45" s="82">
        <f>C7-9</f>
        <v>-9</v>
      </c>
      <c r="J45" s="67">
        <f>IF('selecteer hier uw barbecue'!$B$49=matrixen!$B$147,'selecteer hier uw barbecue'!B52&amp; ",   "&amp; 'selecteer hier uw barbecue'!B53,'selecteer hier uw barbecue'!F49)</f>
        <v>0</v>
      </c>
    </row>
    <row r="46" spans="1:17" x14ac:dyDescent="0.25">
      <c r="A46" s="68" t="s">
        <v>199</v>
      </c>
      <c r="J46" s="67">
        <f>IF('selecteer hier uw barbecue'!$B$49=matrixen!$B$147,'selecteer hier uw barbecue'!B54&amp; ",   "&amp; 'selecteer hier uw barbecue'!B55,'selecteer hier uw barbecue'!F50)</f>
        <v>0</v>
      </c>
    </row>
    <row r="47" spans="1:17" x14ac:dyDescent="0.25">
      <c r="A47" s="81" t="s">
        <v>200</v>
      </c>
      <c r="J47" s="67">
        <f>IF('selecteer hier uw barbecue'!$B$49=matrixen!$B$147,'selecteer hier uw barbecue'!B56&amp; ",   "&amp; 'selecteer hier uw barbecue'!B57,'selecteer hier uw barbecue'!F51)</f>
        <v>0</v>
      </c>
    </row>
    <row r="48" spans="1:17" x14ac:dyDescent="0.25">
      <c r="A48" s="81" t="s">
        <v>201</v>
      </c>
      <c r="H48" s="83" t="s">
        <v>179</v>
      </c>
      <c r="I48" s="89" t="str">
        <f>'selecteer hier uw barbecue'!K86</f>
        <v>ja</v>
      </c>
      <c r="J48" s="67">
        <f>IF('selecteer hier uw barbecue'!$B$49=matrixen!$B$147,'selecteer hier uw barbecue'!B58,'selecteer hier uw barbecue'!F52)</f>
        <v>0</v>
      </c>
    </row>
    <row r="49" spans="1:10" x14ac:dyDescent="0.25">
      <c r="A49" s="81" t="s">
        <v>202</v>
      </c>
      <c r="J49" s="67">
        <f>'selecteer hier uw barbecue'!F53</f>
        <v>0</v>
      </c>
    </row>
    <row r="50" spans="1:10" x14ac:dyDescent="0.25">
      <c r="C50" s="68" t="s">
        <v>203</v>
      </c>
      <c r="H50" s="68" t="s">
        <v>204</v>
      </c>
      <c r="J50" s="67">
        <f>'selecteer hier uw barbecue'!F54</f>
        <v>0</v>
      </c>
    </row>
    <row r="52" spans="1:10" x14ac:dyDescent="0.25">
      <c r="J52" s="14" t="str">
        <f>IF(OR('selecteer hier uw barbecue'!B71&lt;&gt;"",'selecteer hier uw barbecue'!B72&lt;&gt;"",'selecteer hier uw barbecue'!B73&lt;&gt;"",'selecteer hier uw barbecue'!B74&lt;&gt;""),"U koos volgende late night snacks:","")</f>
        <v/>
      </c>
    </row>
    <row r="53" spans="1:10" x14ac:dyDescent="0.25">
      <c r="J53" s="67">
        <f>'selecteer hier uw barbecue'!B71</f>
        <v>0</v>
      </c>
    </row>
    <row r="54" spans="1:10" x14ac:dyDescent="0.25">
      <c r="J54" s="67">
        <f>'selecteer hier uw barbecue'!B72</f>
        <v>0</v>
      </c>
    </row>
    <row r="55" spans="1:10" x14ac:dyDescent="0.25">
      <c r="J55" s="67">
        <f>'selecteer hier uw barbecue'!B73</f>
        <v>0</v>
      </c>
    </row>
    <row r="56" spans="1:10" x14ac:dyDescent="0.25">
      <c r="J56" s="67">
        <f>'selecteer hier uw barbecue'!B74</f>
        <v>0</v>
      </c>
    </row>
  </sheetData>
  <sheetProtection algorithmName="SHA-512" hashValue="F8e92X9ZEavAXrGhxPJSfHeFnyu5vnRlr8fVoW/41IHRxwT4RypepNya7zQGUFS7Yq3qRRiukIuVcbbYKrHqVA==" saltValue="LQJ9Ecp8d4RtL3H2bWbwDw==" spinCount="100000" sheet="1" objects="1" scenarios="1" selectLockedCells="1"/>
  <mergeCells count="16">
    <mergeCell ref="Q3:Q4"/>
    <mergeCell ref="A41:I44"/>
    <mergeCell ref="O3:O4"/>
    <mergeCell ref="P3:P4"/>
    <mergeCell ref="R3:R4"/>
    <mergeCell ref="M10:N10"/>
    <mergeCell ref="J15:R15"/>
    <mergeCell ref="J17:R17"/>
    <mergeCell ref="M13:Q13"/>
    <mergeCell ref="O24:R24"/>
    <mergeCell ref="J13:L13"/>
    <mergeCell ref="J26:R27"/>
    <mergeCell ref="A37:H38"/>
    <mergeCell ref="E15:I15"/>
    <mergeCell ref="A33:I33"/>
    <mergeCell ref="A35:C35"/>
  </mergeCells>
  <conditionalFormatting sqref="I14">
    <cfRule type="cellIs" dxfId="11" priority="26" operator="greaterThan">
      <formula>3000</formula>
    </cfRule>
  </conditionalFormatting>
  <conditionalFormatting sqref="M13:Q13">
    <cfRule type="containsText" dxfId="10" priority="11" operator="containsText" text="onmogelijk">
      <formula>NOT(ISERROR(SEARCH("onmogelijk",M13)))</formula>
    </cfRule>
  </conditionalFormatting>
  <conditionalFormatting sqref="B39">
    <cfRule type="containsText" dxfId="9" priority="10" operator="containsText" text="ja">
      <formula>NOT(ISERROR(SEARCH("ja",B39)))</formula>
    </cfRule>
  </conditionalFormatting>
  <conditionalFormatting sqref="B40">
    <cfRule type="containsText" dxfId="8" priority="9" operator="containsText" text="ja">
      <formula>NOT(ISERROR(SEARCH("ja",B40)))</formula>
    </cfRule>
  </conditionalFormatting>
  <conditionalFormatting sqref="E39">
    <cfRule type="containsText" dxfId="7" priority="8" operator="containsText" text="ja">
      <formula>NOT(ISERROR(SEARCH("ja",E39)))</formula>
    </cfRule>
  </conditionalFormatting>
  <conditionalFormatting sqref="E40">
    <cfRule type="containsText" dxfId="6" priority="7" operator="containsText" text="ja">
      <formula>NOT(ISERROR(SEARCH("ja",E40)))</formula>
    </cfRule>
  </conditionalFormatting>
  <conditionalFormatting sqref="I39">
    <cfRule type="containsText" dxfId="5" priority="6" operator="containsText" text="ja">
      <formula>NOT(ISERROR(SEARCH("ja",I39)))</formula>
    </cfRule>
  </conditionalFormatting>
  <conditionalFormatting sqref="I40">
    <cfRule type="containsText" dxfId="4" priority="5" operator="containsText" text="ja">
      <formula>NOT(ISERROR(SEARCH("ja",I40)))</formula>
    </cfRule>
  </conditionalFormatting>
  <conditionalFormatting sqref="E15:I15">
    <cfRule type="containsText" dxfId="3" priority="4" operator="containsText" text="tafels">
      <formula>NOT(ISERROR(SEARCH("tafels",E15)))</formula>
    </cfRule>
  </conditionalFormatting>
  <conditionalFormatting sqref="A33:I33">
    <cfRule type="containsText" dxfId="2" priority="3" operator="containsText" text="of">
      <formula>NOT(ISERROR(SEARCH("of",A33)))</formula>
    </cfRule>
  </conditionalFormatting>
  <conditionalFormatting sqref="A18">
    <cfRule type="containsText" dxfId="1" priority="2" operator="containsText" text="a">
      <formula>NOT(ISERROR(SEARCH("a",A18)))</formula>
    </cfRule>
  </conditionalFormatting>
  <conditionalFormatting sqref="A35:C35">
    <cfRule type="containsText" dxfId="0" priority="1" operator="containsText" text="met">
      <formula>NOT(ISERROR(SEARCH("met",A35)))</formula>
    </cfRule>
  </conditionalFormatting>
  <dataValidations disablePrompts="1" count="1">
    <dataValidation type="whole" allowBlank="1" showInputMessage="1" showErrorMessage="1" errorTitle="Fout" error="U kunt niet meer ingeven dan het totaal aantal volwassenen._x000a_" sqref="N12" xr:uid="{00000000-0002-0000-0300-000000000000}">
      <formula1>0</formula1>
      <formula2>K5</formula2>
    </dataValidation>
  </dataValidations>
  <pageMargins left="0.7" right="0.7" top="0.75" bottom="0.75" header="0.3" footer="0.3"/>
  <pageSetup paperSize="9" scale="94" orientation="portrait" r:id="rId1"/>
  <colBreaks count="1" manualBreakCount="1">
    <brk id="9"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activeer">
                <anchor moveWithCells="1" sizeWithCells="1">
                  <from>
                    <xdr:col>18</xdr:col>
                    <xdr:colOff>209550</xdr:colOff>
                    <xdr:row>1</xdr:row>
                    <xdr:rowOff>38100</xdr:rowOff>
                  </from>
                  <to>
                    <xdr:col>19</xdr:col>
                    <xdr:colOff>152400</xdr:colOff>
                    <xdr:row>2</xdr:row>
                    <xdr:rowOff>57150</xdr:rowOff>
                  </to>
                </anchor>
              </controlPr>
            </control>
          </mc:Choice>
        </mc:AlternateContent>
        <mc:AlternateContent xmlns:mc="http://schemas.openxmlformats.org/markup-compatibility/2006">
          <mc:Choice Requires="x14">
            <control shapeId="2051" r:id="rId5" name="Button 3">
              <controlPr defaultSize="0" print="0" autoFill="0" autoPict="0" macro="[0]!desactiveer">
                <anchor moveWithCells="1" sizeWithCells="1">
                  <from>
                    <xdr:col>18</xdr:col>
                    <xdr:colOff>209550</xdr:colOff>
                    <xdr:row>3</xdr:row>
                    <xdr:rowOff>0</xdr:rowOff>
                  </from>
                  <to>
                    <xdr:col>19</xdr:col>
                    <xdr:colOff>171450</xdr:colOff>
                    <xdr:row>4</xdr:row>
                    <xdr:rowOff>38100</xdr:rowOff>
                  </to>
                </anchor>
              </controlPr>
            </control>
          </mc:Choice>
        </mc:AlternateContent>
        <mc:AlternateContent xmlns:mc="http://schemas.openxmlformats.org/markup-compatibility/2006">
          <mc:Choice Requires="x14">
            <control shapeId="2052" r:id="rId6" name="Button 4">
              <controlPr defaultSize="0" print="0" autoFill="0" autoPict="0" macro="[0]!Blad4.BAH">
                <anchor moveWithCells="1" sizeWithCells="1">
                  <from>
                    <xdr:col>18</xdr:col>
                    <xdr:colOff>219075</xdr:colOff>
                    <xdr:row>4</xdr:row>
                    <xdr:rowOff>180975</xdr:rowOff>
                  </from>
                  <to>
                    <xdr:col>19</xdr:col>
                    <xdr:colOff>190500</xdr:colOff>
                    <xdr:row>6</xdr:row>
                    <xdr:rowOff>57150</xdr:rowOff>
                  </to>
                </anchor>
              </controlPr>
            </control>
          </mc:Choice>
        </mc:AlternateContent>
        <mc:AlternateContent xmlns:mc="http://schemas.openxmlformats.org/markup-compatibility/2006">
          <mc:Choice Requires="x14">
            <control shapeId="2053" r:id="rId7" name="Button 5">
              <controlPr defaultSize="0" print="0" autoFill="0" autoPict="0" macro="[0]!Druk_voorstel_1_af">
                <anchor moveWithCells="1" sizeWithCells="1">
                  <from>
                    <xdr:col>18</xdr:col>
                    <xdr:colOff>257175</xdr:colOff>
                    <xdr:row>7</xdr:row>
                    <xdr:rowOff>28575</xdr:rowOff>
                  </from>
                  <to>
                    <xdr:col>19</xdr:col>
                    <xdr:colOff>19050</xdr:colOff>
                    <xdr:row>8</xdr:row>
                    <xdr:rowOff>28575</xdr:rowOff>
                  </to>
                </anchor>
              </controlPr>
            </control>
          </mc:Choice>
        </mc:AlternateContent>
        <mc:AlternateContent xmlns:mc="http://schemas.openxmlformats.org/markup-compatibility/2006">
          <mc:Choice Requires="x14">
            <control shapeId="2054" r:id="rId8" name="Button 6">
              <controlPr defaultSize="0" print="0" autoFill="0" autoPict="0" macro="[0]!Druk_voorstel_2_af">
                <anchor moveWithCells="1" sizeWithCells="1">
                  <from>
                    <xdr:col>18</xdr:col>
                    <xdr:colOff>266700</xdr:colOff>
                    <xdr:row>8</xdr:row>
                    <xdr:rowOff>152400</xdr:rowOff>
                  </from>
                  <to>
                    <xdr:col>19</xdr:col>
                    <xdr:colOff>19050</xdr:colOff>
                    <xdr:row>9</xdr:row>
                    <xdr:rowOff>123825</xdr:rowOff>
                  </to>
                </anchor>
              </controlPr>
            </control>
          </mc:Choice>
        </mc:AlternateContent>
        <mc:AlternateContent xmlns:mc="http://schemas.openxmlformats.org/markup-compatibility/2006">
          <mc:Choice Requires="x14">
            <control shapeId="2049" r:id="rId9" name="Button 1">
              <controlPr defaultSize="0" print="0" autoFill="0" autoPict="0" macro="[0]!Druk_voorstel_af">
                <anchor moveWithCells="1" sizeWithCells="1">
                  <from>
                    <xdr:col>7</xdr:col>
                    <xdr:colOff>228600</xdr:colOff>
                    <xdr:row>1</xdr:row>
                    <xdr:rowOff>38100</xdr:rowOff>
                  </from>
                  <to>
                    <xdr:col>9</xdr:col>
                    <xdr:colOff>428625</xdr:colOff>
                    <xdr:row>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selecteer hier uw barbecue</vt:lpstr>
      <vt:lpstr>matrixen</vt:lpstr>
      <vt:lpstr>Algemene verkoopsvoorwaarden</vt:lpstr>
      <vt:lpstr>Reservatievoorstel</vt:lpstr>
      <vt:lpstr>'Algemene verkoopsvoorwaarden'!Afdrukbereik</vt:lpstr>
      <vt:lpstr>Reservatievoorstel!Afdrukbereik</vt:lpstr>
      <vt:lpstr>dessert</vt:lpstr>
      <vt:lpstr>dessertjes</vt:lpstr>
      <vt:lpstr>hapjes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2022-11-03T16:27:08Z</dcterms:modified>
</cp:coreProperties>
</file>