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codeName="{AE6600E7-7A62-396C-DE95-9942FA9DD81E}"/>
  <workbookPr filterPrivacy="1" codeName="ThisWorkbook" defaultThemeVersion="124226"/>
  <xr:revisionPtr revIDLastSave="0" documentId="13_ncr:1_{1CD60A53-B68D-4418-A551-9716597B78E6}" xr6:coauthVersionLast="47" xr6:coauthVersionMax="47" xr10:uidLastSave="{00000000-0000-0000-0000-000000000000}"/>
  <bookViews>
    <workbookView xWindow="-120" yWindow="-120" windowWidth="29040" windowHeight="15720" xr2:uid="{00000000-000D-0000-FFFF-FFFF00000000}"/>
  </bookViews>
  <sheets>
    <sheet name="koud buffet" sheetId="2" r:id="rId1"/>
    <sheet name="matrixen" sheetId="1" state="hidden" r:id="rId2"/>
    <sheet name="Algemene verkoopsvoorwaarden" sheetId="3" r:id="rId3"/>
    <sheet name="Reservatievoorstel" sheetId="4" r:id="rId4"/>
  </sheets>
  <definedNames>
    <definedName name="_xlnm.Print_Area" localSheetId="2">'Algemene verkoopsvoorwaarden'!$A$1:$A$49</definedName>
    <definedName name="dessert">matrixen!$B$127:$S$149</definedName>
    <definedName name="dessertjes">matrixen!$M$22:$M$34</definedName>
    <definedName name="hapjes">matrixen!$AM$16:$AM$49</definedName>
    <definedName name="minidessert">matrixen!$M$22:$M$33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0" i="4" l="1"/>
  <c r="I21" i="4" s="1"/>
  <c r="I19" i="4"/>
  <c r="J52" i="4"/>
  <c r="J54" i="4"/>
  <c r="J55" i="4"/>
  <c r="J56" i="4"/>
  <c r="J53" i="4"/>
  <c r="F48" i="2"/>
  <c r="D68" i="2"/>
  <c r="D69" i="2"/>
  <c r="D70" i="2"/>
  <c r="D67" i="2"/>
  <c r="J67" i="2"/>
  <c r="J68" i="2"/>
  <c r="J69" i="2"/>
  <c r="J70" i="2"/>
  <c r="J66" i="2"/>
  <c r="C1" i="4" l="1"/>
  <c r="B3" i="2"/>
  <c r="N22" i="4" l="1"/>
  <c r="N20" i="4"/>
  <c r="N18" i="4"/>
  <c r="L74" i="2" l="1"/>
  <c r="I11" i="4" s="1"/>
  <c r="H11" i="4" s="1"/>
  <c r="J74" i="2"/>
  <c r="I49" i="4" l="1"/>
  <c r="I45" i="4"/>
  <c r="A44" i="4"/>
  <c r="J43" i="4"/>
  <c r="I43" i="4"/>
  <c r="G43" i="4"/>
  <c r="F43" i="4"/>
  <c r="C43" i="4"/>
  <c r="J42" i="4"/>
  <c r="G42" i="4"/>
  <c r="C42" i="4"/>
  <c r="J40" i="4"/>
  <c r="J39" i="4"/>
  <c r="A39" i="4"/>
  <c r="J38" i="4"/>
  <c r="J37" i="4"/>
  <c r="A37" i="4"/>
  <c r="J36" i="4"/>
  <c r="J35" i="4"/>
  <c r="J34" i="4"/>
  <c r="J33" i="4"/>
  <c r="J32" i="4"/>
  <c r="J31" i="4"/>
  <c r="J30" i="4"/>
  <c r="AG25" i="4"/>
  <c r="I24" i="4" s="1"/>
  <c r="AG24" i="4"/>
  <c r="E32" i="4" s="1"/>
  <c r="AG23" i="4"/>
  <c r="A32" i="4" s="1"/>
  <c r="K23" i="4"/>
  <c r="K22" i="4"/>
  <c r="G22" i="4"/>
  <c r="K21" i="4"/>
  <c r="K20" i="4"/>
  <c r="K19" i="4"/>
  <c r="K18" i="4"/>
  <c r="I15" i="4"/>
  <c r="D14" i="4"/>
  <c r="N12" i="4"/>
  <c r="J15" i="4" s="1"/>
  <c r="D12" i="4"/>
  <c r="C12" i="4"/>
  <c r="K8" i="4" s="1"/>
  <c r="C11" i="4"/>
  <c r="K7" i="4" s="1"/>
  <c r="I9" i="4"/>
  <c r="C10" i="4"/>
  <c r="K6" i="4" s="1"/>
  <c r="J21" i="4" s="1"/>
  <c r="O9" i="4"/>
  <c r="I16" i="4" s="1"/>
  <c r="C9" i="4"/>
  <c r="K5" i="4" s="1"/>
  <c r="N8" i="4"/>
  <c r="Q8" i="4" s="1"/>
  <c r="M8" i="4"/>
  <c r="L8" i="4"/>
  <c r="F7" i="4"/>
  <c r="C7" i="4"/>
  <c r="I46" i="4" s="1"/>
  <c r="B6" i="4"/>
  <c r="A6" i="4"/>
  <c r="C5" i="4"/>
  <c r="I4" i="4"/>
  <c r="C4" i="4"/>
  <c r="I3" i="4"/>
  <c r="C3" i="4"/>
  <c r="C2" i="4"/>
  <c r="AA139" i="2"/>
  <c r="AA138" i="2"/>
  <c r="AA137" i="2"/>
  <c r="AA130" i="2"/>
  <c r="AA129" i="2"/>
  <c r="AA127" i="2"/>
  <c r="AA126" i="2"/>
  <c r="AA125" i="2"/>
  <c r="AA123" i="2"/>
  <c r="AA122" i="2"/>
  <c r="AA121" i="2"/>
  <c r="AA120" i="2"/>
  <c r="AA118" i="2"/>
  <c r="AA117" i="2"/>
  <c r="AA116" i="2"/>
  <c r="AA115" i="2"/>
  <c r="AA114" i="2"/>
  <c r="AA113" i="2"/>
  <c r="AA112" i="2"/>
  <c r="AA111" i="2"/>
  <c r="AA110" i="2"/>
  <c r="AA109" i="2"/>
  <c r="AA108" i="2"/>
  <c r="AA107" i="2"/>
  <c r="AA106" i="2"/>
  <c r="K106" i="2"/>
  <c r="AA105" i="2"/>
  <c r="I105" i="2"/>
  <c r="J108" i="2" s="1"/>
  <c r="G105" i="2"/>
  <c r="H111" i="2" s="1"/>
  <c r="E105" i="2"/>
  <c r="F106" i="2" s="1"/>
  <c r="AA104" i="2"/>
  <c r="AA103" i="2"/>
  <c r="AA102" i="2"/>
  <c r="AA101" i="2"/>
  <c r="AA100" i="2"/>
  <c r="D100" i="2"/>
  <c r="L85" i="2" s="1"/>
  <c r="AA99" i="2"/>
  <c r="AA98" i="2"/>
  <c r="AA96" i="2"/>
  <c r="H96" i="2"/>
  <c r="E33" i="4" s="1"/>
  <c r="AA95" i="2"/>
  <c r="AA94" i="2"/>
  <c r="AA92" i="2"/>
  <c r="AA91" i="2"/>
  <c r="H91" i="2"/>
  <c r="A22" i="4" s="1"/>
  <c r="AA90" i="2"/>
  <c r="L90" i="2"/>
  <c r="H90" i="2" s="1"/>
  <c r="A21" i="4" s="1"/>
  <c r="AA89" i="2"/>
  <c r="L89" i="2"/>
  <c r="H89" i="2" s="1"/>
  <c r="A20" i="4" s="1"/>
  <c r="L88" i="2"/>
  <c r="H88" i="2" s="1"/>
  <c r="A19" i="4" s="1"/>
  <c r="AA87" i="2"/>
  <c r="L87" i="2"/>
  <c r="H87" i="2"/>
  <c r="A18" i="4" s="1"/>
  <c r="AA86" i="2"/>
  <c r="L86" i="2"/>
  <c r="H86" i="2"/>
  <c r="A17" i="4" s="1"/>
  <c r="AA85" i="2"/>
  <c r="AA84" i="2"/>
  <c r="AA83" i="2"/>
  <c r="AA82" i="2"/>
  <c r="AA81" i="2"/>
  <c r="AA80" i="2"/>
  <c r="J80" i="2"/>
  <c r="H80" i="2"/>
  <c r="AA79" i="2"/>
  <c r="J79" i="2"/>
  <c r="AA78" i="2"/>
  <c r="J78" i="2"/>
  <c r="AA68" i="2"/>
  <c r="E76" i="2"/>
  <c r="L99" i="2" s="1"/>
  <c r="D76" i="2"/>
  <c r="Q2" i="4" s="1"/>
  <c r="P2" i="4" s="1"/>
  <c r="AA67" i="2"/>
  <c r="AA66" i="2"/>
  <c r="D74" i="2"/>
  <c r="L98" i="2" s="1"/>
  <c r="H98" i="2" s="1"/>
  <c r="A36" i="4" s="1"/>
  <c r="AA65" i="2"/>
  <c r="AA64" i="2"/>
  <c r="F72" i="2"/>
  <c r="J50" i="4" s="1"/>
  <c r="AA63" i="2"/>
  <c r="F71" i="2"/>
  <c r="J49" i="4" s="1"/>
  <c r="D65" i="2"/>
  <c r="F65" i="2" s="1"/>
  <c r="AA62" i="2"/>
  <c r="F62" i="2"/>
  <c r="J48" i="4" s="1"/>
  <c r="AA61" i="2"/>
  <c r="F61" i="2"/>
  <c r="J47" i="4" s="1"/>
  <c r="B61" i="2"/>
  <c r="AA60" i="2"/>
  <c r="F60" i="2"/>
  <c r="J46" i="4" s="1"/>
  <c r="AA59" i="2"/>
  <c r="F59" i="2"/>
  <c r="J45" i="4" s="1"/>
  <c r="D59" i="2"/>
  <c r="L97" i="2" s="1"/>
  <c r="H97" i="2" s="1"/>
  <c r="A35" i="4" s="1"/>
  <c r="J44" i="4" s="1"/>
  <c r="AA58" i="2"/>
  <c r="AA57" i="2"/>
  <c r="AA56" i="2"/>
  <c r="AA55" i="2"/>
  <c r="D55" i="2"/>
  <c r="L96" i="2" s="1"/>
  <c r="AA54" i="2"/>
  <c r="AA53" i="2"/>
  <c r="AA52" i="2"/>
  <c r="G52" i="2"/>
  <c r="AA51" i="2"/>
  <c r="G51" i="2"/>
  <c r="AA50" i="2"/>
  <c r="G50" i="2"/>
  <c r="AA49" i="2"/>
  <c r="AA47" i="2"/>
  <c r="G47" i="2"/>
  <c r="AA46" i="2"/>
  <c r="G46" i="2"/>
  <c r="AA45" i="2"/>
  <c r="G45" i="2"/>
  <c r="AL44" i="2"/>
  <c r="AA44" i="2"/>
  <c r="G44" i="2"/>
  <c r="AL43" i="2"/>
  <c r="AA43" i="2"/>
  <c r="G43" i="2"/>
  <c r="AL42" i="2"/>
  <c r="AA42" i="2"/>
  <c r="G42" i="2"/>
  <c r="AL41" i="2"/>
  <c r="AA41" i="2"/>
  <c r="G41" i="2"/>
  <c r="AL40" i="2"/>
  <c r="AA40" i="2"/>
  <c r="G40" i="2"/>
  <c r="AL39" i="2"/>
  <c r="AA39" i="2"/>
  <c r="G39" i="2"/>
  <c r="AL38" i="2"/>
  <c r="AA38" i="2"/>
  <c r="F38" i="2"/>
  <c r="D38" i="2"/>
  <c r="L93" i="2" s="1"/>
  <c r="AL37" i="2"/>
  <c r="AA37" i="2"/>
  <c r="AL36" i="2"/>
  <c r="AA36" i="2"/>
  <c r="D36" i="2"/>
  <c r="L91" i="2" s="1"/>
  <c r="AL35" i="2"/>
  <c r="AA35" i="2"/>
  <c r="AL34" i="2"/>
  <c r="AA34" i="2"/>
  <c r="AL33" i="2"/>
  <c r="AA33" i="2"/>
  <c r="AL32" i="2"/>
  <c r="AA32" i="2"/>
  <c r="AL31" i="2"/>
  <c r="AA31" i="2"/>
  <c r="AL30" i="2"/>
  <c r="AL29" i="2"/>
  <c r="AA29" i="2"/>
  <c r="AL28" i="2"/>
  <c r="AA28" i="2"/>
  <c r="AL27" i="2"/>
  <c r="AA27" i="2"/>
  <c r="AL26" i="2"/>
  <c r="AA26" i="2"/>
  <c r="F26" i="2"/>
  <c r="AL25" i="2"/>
  <c r="AA25" i="2"/>
  <c r="F25" i="2"/>
  <c r="AL24" i="2"/>
  <c r="AA24" i="2"/>
  <c r="F24" i="2"/>
  <c r="AL23" i="2"/>
  <c r="AA23" i="2"/>
  <c r="F23" i="2"/>
  <c r="AL22" i="2"/>
  <c r="AA22" i="2"/>
  <c r="F22" i="2"/>
  <c r="AL21" i="2"/>
  <c r="AA21" i="2"/>
  <c r="F21" i="2"/>
  <c r="AL20" i="2"/>
  <c r="AA20" i="2"/>
  <c r="F20" i="2"/>
  <c r="G24" i="2" s="1"/>
  <c r="B15" i="2" s="1"/>
  <c r="AL19" i="2"/>
  <c r="AA19" i="2"/>
  <c r="F19" i="2"/>
  <c r="AL18" i="2"/>
  <c r="AA18" i="2"/>
  <c r="F18" i="2"/>
  <c r="R33" i="4" s="1"/>
  <c r="AL17" i="2"/>
  <c r="AA17" i="2"/>
  <c r="F17" i="2"/>
  <c r="R32" i="4" s="1"/>
  <c r="AL16" i="2"/>
  <c r="AA16" i="2"/>
  <c r="F16" i="2"/>
  <c r="R31" i="4" s="1"/>
  <c r="AL15" i="2"/>
  <c r="AA15" i="2"/>
  <c r="F15" i="2"/>
  <c r="R30" i="4" s="1"/>
  <c r="AL14" i="2"/>
  <c r="AA14" i="2"/>
  <c r="F14" i="2"/>
  <c r="R29" i="4" s="1"/>
  <c r="AL13" i="2"/>
  <c r="F13" i="2"/>
  <c r="R28" i="4" s="1"/>
  <c r="D13" i="2"/>
  <c r="AA11" i="2"/>
  <c r="D6" i="2" s="1"/>
  <c r="I11" i="2"/>
  <c r="D15" i="2" s="1"/>
  <c r="A33" i="4" l="1"/>
  <c r="A24" i="4"/>
  <c r="A28" i="4"/>
  <c r="A25" i="4"/>
  <c r="A34" i="4"/>
  <c r="A26" i="4"/>
  <c r="E26" i="4"/>
  <c r="A30" i="4"/>
  <c r="E23" i="4"/>
  <c r="A31" i="4"/>
  <c r="I25" i="4"/>
  <c r="I23" i="4"/>
  <c r="E28" i="4"/>
  <c r="A29" i="4"/>
  <c r="E24" i="4"/>
  <c r="E31" i="4"/>
  <c r="J16" i="4"/>
  <c r="J19" i="4" s="1"/>
  <c r="E29" i="4"/>
  <c r="F109" i="2"/>
  <c r="L11" i="4"/>
  <c r="H109" i="2"/>
  <c r="M11" i="4"/>
  <c r="E25" i="4"/>
  <c r="E30" i="4"/>
  <c r="O8" i="4"/>
  <c r="H106" i="2"/>
  <c r="A27" i="4"/>
  <c r="J106" i="2"/>
  <c r="E27" i="4"/>
  <c r="H39" i="2"/>
  <c r="H50" i="2"/>
  <c r="D50" i="2" s="1"/>
  <c r="L95" i="2" s="1"/>
  <c r="H95" i="2" s="1"/>
  <c r="J17" i="4"/>
  <c r="J14" i="4"/>
  <c r="J18" i="4" s="1"/>
  <c r="J22" i="4"/>
  <c r="J23" i="4"/>
  <c r="P5" i="4"/>
  <c r="P6" i="4"/>
  <c r="I85" i="2"/>
  <c r="H85" i="2"/>
  <c r="A16" i="4" s="1"/>
  <c r="J109" i="2"/>
  <c r="F107" i="2"/>
  <c r="F110" i="2"/>
  <c r="H107" i="2"/>
  <c r="H110" i="2"/>
  <c r="R8" i="4"/>
  <c r="J41" i="4"/>
  <c r="L84" i="2"/>
  <c r="H84" i="2" s="1"/>
  <c r="A15" i="4" s="1"/>
  <c r="M28" i="4" s="1"/>
  <c r="J28" i="4" s="1"/>
  <c r="F105" i="2"/>
  <c r="J107" i="2"/>
  <c r="J110" i="2"/>
  <c r="H105" i="2"/>
  <c r="F108" i="2"/>
  <c r="F111" i="2"/>
  <c r="H108" i="2"/>
  <c r="P3" i="4"/>
  <c r="P7" i="4"/>
  <c r="D8" i="4"/>
  <c r="J20" i="4"/>
  <c r="H40" i="2" l="1"/>
  <c r="H41" i="2" s="1"/>
  <c r="D42" i="2" s="1"/>
  <c r="L94" i="2" l="1"/>
  <c r="H94" i="2" s="1"/>
  <c r="D7" i="2"/>
  <c r="J7" i="2" s="1"/>
  <c r="D10" i="4" s="1"/>
  <c r="L6" i="4" s="1"/>
  <c r="M6" i="4" s="1"/>
  <c r="H7" i="2" l="1"/>
  <c r="D11" i="4" s="1"/>
  <c r="L7" i="4" s="1"/>
  <c r="M7" i="4" s="1"/>
  <c r="D9" i="4"/>
  <c r="Q1" i="4" s="1"/>
  <c r="L5" i="4" s="1"/>
  <c r="M5" i="4" s="1"/>
  <c r="O6" i="4" l="1"/>
  <c r="N6" i="4"/>
  <c r="Q6" i="4" s="1"/>
  <c r="R6" i="4" s="1"/>
  <c r="M20" i="4"/>
  <c r="O20" i="4" s="1"/>
  <c r="N7" i="4"/>
  <c r="Q7" i="4" s="1"/>
  <c r="M23" i="4" s="1"/>
  <c r="O23" i="4" s="1"/>
  <c r="M18" i="4"/>
  <c r="O18" i="4" s="1"/>
  <c r="I8" i="4"/>
  <c r="I10" i="4" l="1"/>
  <c r="Q9" i="4" s="1"/>
  <c r="M21" i="4"/>
  <c r="O21" i="4" s="1"/>
  <c r="M22" i="4"/>
  <c r="O22" i="4" s="1"/>
  <c r="O7" i="4"/>
  <c r="O5" i="4"/>
  <c r="M14" i="4"/>
  <c r="O14" i="4" s="1"/>
  <c r="N5" i="4"/>
  <c r="M13" i="4"/>
  <c r="R7" i="4"/>
  <c r="P9" i="4" l="1"/>
  <c r="O24" i="4" s="1"/>
  <c r="L24" i="4"/>
  <c r="K24" i="4" s="1"/>
  <c r="I12" i="4"/>
  <c r="F101" i="2" s="1"/>
  <c r="G103" i="2" s="1"/>
  <c r="G104" i="2" s="1"/>
  <c r="I13" i="4" s="1"/>
  <c r="J26" i="4" s="1"/>
  <c r="Q5" i="4"/>
  <c r="M19" i="4" s="1"/>
  <c r="O19" i="4" s="1"/>
  <c r="M24" i="4" l="1"/>
  <c r="J24" i="4"/>
  <c r="N24" i="4"/>
  <c r="R5" i="4"/>
  <c r="M16" i="4"/>
  <c r="O16" i="4" s="1"/>
  <c r="M25" i="4" s="1"/>
  <c r="L25" i="4" l="1"/>
</calcChain>
</file>

<file path=xl/sharedStrings.xml><?xml version="1.0" encoding="utf-8"?>
<sst xmlns="http://schemas.openxmlformats.org/spreadsheetml/2006/main" count="592" uniqueCount="451">
  <si>
    <t>Pineau des charentes wit</t>
  </si>
  <si>
    <t>Maison (basis safari)</t>
  </si>
  <si>
    <t>Kir royale</t>
  </si>
  <si>
    <t>Sherry dry</t>
  </si>
  <si>
    <t>Porto</t>
  </si>
  <si>
    <t>Receptie E</t>
  </si>
  <si>
    <t>Receptie A</t>
  </si>
  <si>
    <t>Martini (wit/rood)</t>
  </si>
  <si>
    <t>Uitgebreide receptie</t>
  </si>
  <si>
    <t>Basis receptie.</t>
  </si>
  <si>
    <t>Dranken 2 uur inbegrepen.</t>
  </si>
  <si>
    <t>Kir</t>
  </si>
  <si>
    <t>nootjes en chips</t>
  </si>
  <si>
    <t>“3 koude voorgerechtjes”</t>
  </si>
  <si>
    <t>Schuimwijn</t>
  </si>
  <si>
    <t xml:space="preserve">koud hapje met krabsla </t>
  </si>
  <si>
    <t>koud hapje met gerookte zalm</t>
  </si>
  <si>
    <t>koud hapje met grijze garnalen</t>
  </si>
  <si>
    <t>“soepje”</t>
  </si>
  <si>
    <t>1 mini soepje tomatenroom of vissoepje</t>
  </si>
  <si>
    <t>“3 warme gerechtjes”</t>
  </si>
  <si>
    <t>kippenboutje</t>
  </si>
  <si>
    <t>Cava</t>
  </si>
  <si>
    <t>mini loempia</t>
  </si>
  <si>
    <t>Champagne</t>
  </si>
  <si>
    <t>mini croque monsieur</t>
  </si>
  <si>
    <t>“2 dessertjes”</t>
  </si>
  <si>
    <t>mini-brochetje met druifje, ananas en meloenbolletje</t>
  </si>
  <si>
    <t xml:space="preserve">Dessertbuffet zonder maaltijd: </t>
  </si>
  <si>
    <t>mini confituurtaartje</t>
  </si>
  <si>
    <t>Koffie 3 X bediend</t>
  </si>
  <si>
    <t>Warme toostjes per stuk</t>
  </si>
  <si>
    <t>1 aperitief per persoon, vrije keuze</t>
  </si>
  <si>
    <t>Koude toostjes per stuk</t>
  </si>
  <si>
    <t>Nootjes, chips en zoutkoekjes zoveel u wenst,  per pers.</t>
  </si>
  <si>
    <t>gratis</t>
  </si>
  <si>
    <t>aperitiefglaasjes per stuk</t>
  </si>
  <si>
    <t>Rauwe groenten (wortel, bloemkool, cocktailsaus) prijs per persoon:</t>
  </si>
  <si>
    <t>Oesters per stuk warm of koud</t>
  </si>
  <si>
    <t xml:space="preserve">€ </t>
  </si>
  <si>
    <t>parmaham</t>
  </si>
  <si>
    <t>gerookte zalm</t>
  </si>
  <si>
    <t>américain préparé</t>
  </si>
  <si>
    <t>foie gras</t>
  </si>
  <si>
    <t>oesters 2pp</t>
  </si>
  <si>
    <t>kreeft</t>
  </si>
  <si>
    <t>langoustines 1 pp</t>
  </si>
  <si>
    <t>gebakken scampi's 2 pp</t>
  </si>
  <si>
    <t>roastbeef</t>
  </si>
  <si>
    <t>kabeljauw</t>
  </si>
  <si>
    <t>gerookte heilbot</t>
  </si>
  <si>
    <t>gerookte forelfilet</t>
  </si>
  <si>
    <t>tonijnsla</t>
  </si>
  <si>
    <t>vispastei</t>
  </si>
  <si>
    <t>koolvis</t>
  </si>
  <si>
    <t>pandalusgarnalen</t>
  </si>
  <si>
    <t>haring met dille</t>
  </si>
  <si>
    <t>varkensgebraad</t>
  </si>
  <si>
    <t>salami</t>
  </si>
  <si>
    <t>gekookte achterham</t>
  </si>
  <si>
    <t>hennepot</t>
  </si>
  <si>
    <t>vleespastei</t>
  </si>
  <si>
    <t>hoofdvlees</t>
  </si>
  <si>
    <t>stukjes kippebout</t>
  </si>
  <si>
    <t>hespeworst</t>
  </si>
  <si>
    <t>gepocheerde zalm</t>
  </si>
  <si>
    <t>gerookte bacon</t>
  </si>
  <si>
    <t>gepocheerde forel</t>
  </si>
  <si>
    <t>makreel met peper</t>
  </si>
  <si>
    <t>De samenstelling van het buffet kan verschillen, naargelang de grootte van de groep</t>
  </si>
  <si>
    <t>Dame blanche</t>
  </si>
  <si>
    <t>Aardbeiensoepje met sinaasappel in seizoen</t>
  </si>
  <si>
    <t>Sabayon met rood fruit</t>
  </si>
  <si>
    <t>Deze info is van: Feestzaal Katelijnenhof, Heirweg 172, 8800 Roeselare. Contacteer de zaakvoerder: 0475/618058 - info@katelijnenhof.be - web: www.katelijnenhof.be met foto's en volledige prijslijst.</t>
  </si>
  <si>
    <t>kinderen</t>
  </si>
  <si>
    <t xml:space="preserve"> 0 t.e.m. 2 j. 11 maand</t>
  </si>
  <si>
    <t>3 j. t.e.m. 5 j. 11 maand</t>
  </si>
  <si>
    <t>6 j, t.e.m. 11 jr. 11 maand</t>
  </si>
  <si>
    <t>Totaal per volwassene:</t>
  </si>
  <si>
    <t>0,00</t>
  </si>
  <si>
    <t>prijs pp</t>
  </si>
  <si>
    <t>Gedetailleerde info</t>
  </si>
  <si>
    <t>Maak in dit vak uw keuze voor het aperitief</t>
  </si>
  <si>
    <t>1 aperitief per persoon</t>
  </si>
  <si>
    <t>2 aperitieven per persoon</t>
  </si>
  <si>
    <t>vrije keuze</t>
  </si>
  <si>
    <t>Porto rood</t>
  </si>
  <si>
    <t>Martini</t>
  </si>
  <si>
    <t>Frisdrank</t>
  </si>
  <si>
    <t>met 4 aperitiefglaasjes</t>
  </si>
  <si>
    <t xml:space="preserve"> en drank gedurende 2 uur.</t>
  </si>
  <si>
    <t>eventueel tweede wordt</t>
  </si>
  <si>
    <t xml:space="preserve">1 per persoon,  </t>
  </si>
  <si>
    <t>direct afgerekend of</t>
  </si>
  <si>
    <t>komt op 1 rekening</t>
  </si>
  <si>
    <t xml:space="preserve">2 per persoon,  </t>
  </si>
  <si>
    <t>eventueel derde wordt</t>
  </si>
  <si>
    <t>Bieren</t>
  </si>
  <si>
    <t>wachtbordje met vispasteitje</t>
  </si>
  <si>
    <t>wachtbordje van reuzentoost met gerookte zalm</t>
  </si>
  <si>
    <t>Maak hier uw keuze voor extra hapjes bij het aperitief</t>
  </si>
  <si>
    <t>kippenbilletjes</t>
  </si>
  <si>
    <t>toostcupje</t>
  </si>
  <si>
    <t>garnaal in filo</t>
  </si>
  <si>
    <t>mini croque</t>
  </si>
  <si>
    <t>toost garnaal koud</t>
  </si>
  <si>
    <t>toost gerookte zalm koud</t>
  </si>
  <si>
    <t>toost krabsla koud</t>
  </si>
  <si>
    <t>toost eendenpastei koud</t>
  </si>
  <si>
    <t>aperoglaasje eendenmousse</t>
  </si>
  <si>
    <t>aperoglaasje gerookte zalm</t>
  </si>
  <si>
    <t>aperoglaasje mousse van krab</t>
  </si>
  <si>
    <t>aperoglaasje tomaat / garnaal</t>
  </si>
  <si>
    <t>Keuze koude toostjes</t>
  </si>
  <si>
    <t>Keuze aperoglaasjes</t>
  </si>
  <si>
    <t>Keuze warme toostjes</t>
  </si>
  <si>
    <t>(bij reservatie te bepalen)</t>
  </si>
  <si>
    <t>Afhankelijk van de soort ingrediënten die u kiest, verandert de prijs van het buffet. U mag elk ingrediënt meermaals aanduiden als u graag van iets een grotere portie heeft .</t>
  </si>
  <si>
    <t>Wij stellen voor om 12 ingrediënten te kiezen, voor een evenwichtig buffet. Meer of minder mag ook, het gewicht per persoon, per portie blijft steeds gelijk.</t>
  </si>
  <si>
    <t>Indien niet duidelijk, bel of mail ons voor meer info. 0475/618058 of info@katelijnenhof.be.</t>
  </si>
  <si>
    <t>Meer info: ongeacht of u veel of weinig ingrediënten aanduidt, u bekomt steeds een even grote portie per persoon. Dus hoe meer ingrediënten u selecteert, hoe kleiner de hoeveelheid per soort op het buffet wordt.</t>
  </si>
  <si>
    <t>Stel zelf uw koud buffet samen!</t>
  </si>
  <si>
    <r>
      <t xml:space="preserve">(klik </t>
    </r>
    <r>
      <rPr>
        <sz val="11"/>
        <color theme="1"/>
        <rFont val="Calibri"/>
        <family val="2"/>
        <scheme val="minor"/>
      </rPr>
      <t>op de gele balk, vervolgens op het pijltje rechts en scroll ev. naar beneden)</t>
    </r>
  </si>
  <si>
    <r>
      <t xml:space="preserve">In elk buffet zijn steeds groenten voorzien,  koude aardappelen </t>
    </r>
    <r>
      <rPr>
        <b/>
        <u/>
        <sz val="11"/>
        <color indexed="8"/>
        <rFont val="Calibri"/>
        <family val="2"/>
      </rPr>
      <t>en/of</t>
    </r>
    <r>
      <rPr>
        <sz val="11"/>
        <color theme="1"/>
        <rFont val="Calibri"/>
        <family val="2"/>
        <scheme val="minor"/>
      </rPr>
      <t xml:space="preserve"> aardappel in de pel en de schotels worden versierd met fruit. Ook de sausjes zijn inbegrepen.</t>
    </r>
  </si>
  <si>
    <t>Kies hier eerst uw aardappelbereiding</t>
  </si>
  <si>
    <t>Koude aardappelen</t>
  </si>
  <si>
    <t>Aardappel in de pel</t>
  </si>
  <si>
    <t>1/2 koude aardappelen en 1/2 aardappel in de pel</t>
  </si>
  <si>
    <t>frietjes (supplement)</t>
  </si>
  <si>
    <t>inbegrepen</t>
  </si>
  <si>
    <t>Basisprijs buffet:</t>
  </si>
  <si>
    <t>Supplement "koning"</t>
  </si>
  <si>
    <t>Supplement "keizer"</t>
  </si>
  <si>
    <t>Kies uit deze vlees- of visspecialiteiten</t>
  </si>
  <si>
    <t>Selecteer hier de samenstelling van uw buffet.  Indien u bij onderstaande lijst blijft, kost het buffet de basisprijs:</t>
  </si>
  <si>
    <t>supplement 1</t>
  </si>
  <si>
    <t>supplement 2</t>
  </si>
  <si>
    <t>tomaat met grijze garnalen</t>
  </si>
  <si>
    <r>
      <t xml:space="preserve">Mogelijke supplementen </t>
    </r>
    <r>
      <rPr>
        <b/>
        <u/>
        <sz val="14"/>
        <color indexed="8"/>
        <rFont val="Calibri"/>
        <family val="2"/>
      </rPr>
      <t>bij de recepties</t>
    </r>
  </si>
  <si>
    <t>basisprijs</t>
  </si>
  <si>
    <t>sup. Tov basisprijs</t>
  </si>
  <si>
    <r>
      <t xml:space="preserve">MAAK STEEDS UW KEUZE in de </t>
    </r>
    <r>
      <rPr>
        <b/>
        <sz val="20"/>
        <rFont val="Calibri"/>
        <family val="2"/>
      </rPr>
      <t>gele</t>
    </r>
    <r>
      <rPr>
        <b/>
        <sz val="20"/>
        <color indexed="8"/>
        <rFont val="Calibri"/>
        <family val="2"/>
      </rPr>
      <t xml:space="preserve"> vakken: </t>
    </r>
    <r>
      <rPr>
        <b/>
        <sz val="12"/>
        <color indexed="8"/>
        <rFont val="Calibri"/>
        <family val="2"/>
      </rPr>
      <t>(scroll naar beneden om meer gegevens in te vullen) Hierboven kunt u uw prijs volgen.</t>
    </r>
  </si>
  <si>
    <t>U kan ook voor de kinderen een kindermenu nemen ( zie een andere rekenmodule)</t>
  </si>
  <si>
    <t>Selecteer hier uw formule van de dranken tijdens het buffet.</t>
  </si>
  <si>
    <t>Selecteer hier uw dessert.</t>
  </si>
  <si>
    <t xml:space="preserve">U mag tegelijk ook </t>
  </si>
  <si>
    <t>uit de vorige categorie kiezen</t>
  </si>
  <si>
    <t>U mag tegelijk ook uit beide vorige categoriën kiezen.</t>
  </si>
  <si>
    <t>extra info</t>
  </si>
  <si>
    <t>Vanilleijs, verse slagroom,warme chocoladesaus.</t>
  </si>
  <si>
    <t>Sinaasappelsap met grand marnier en daarin vers gesneden aardbeien (alleen in seizoen)</t>
  </si>
  <si>
    <t>De lekkerste van alle gebakjes.</t>
  </si>
  <si>
    <t>Klein maar fijn gebakje</t>
  </si>
  <si>
    <t>Hier heb je zowel gebak als vanilleijs.</t>
  </si>
  <si>
    <t>Sabayon, fruit en ijs</t>
  </si>
  <si>
    <t>Nog geen dessert geselecteerd</t>
  </si>
  <si>
    <t>Koffie 3 X bediend met koekjes</t>
  </si>
  <si>
    <t>Koffie 3 X bediend met pralines</t>
  </si>
  <si>
    <t>Nog geen keuze gemaakt</t>
  </si>
  <si>
    <t>Selecteer hier uw koffie</t>
  </si>
  <si>
    <t>Om een aanvraag naar ons te versturen stuur een mail naar info@katelijnenhof met in bijlage dit bestand vanaf uw harde schijf.</t>
  </si>
  <si>
    <t>Eventuele datum van het feest:</t>
  </si>
  <si>
    <t>geraamd aantal volwassenen:</t>
  </si>
  <si>
    <t>geraamd aantal kinderen  0 t.e.m. 2 j. 11 maand:</t>
  </si>
  <si>
    <t>geraamd aantal kinderen 3 j. t.e.m. 5 j. 11 maand:</t>
  </si>
  <si>
    <t>Minimaal verbruik feest</t>
  </si>
  <si>
    <t>Om uw selecties te bewaren, gelieve ze op te slaan op uw harde schijf. (opslaan als)</t>
  </si>
  <si>
    <t>U vindt verder een overzicht van uw selectie</t>
  </si>
  <si>
    <r>
      <t xml:space="preserve">Het exacte aantal personen </t>
    </r>
    <r>
      <rPr>
        <b/>
        <u/>
        <sz val="11"/>
        <color indexed="8"/>
        <rFont val="Calibri"/>
        <family val="2"/>
      </rPr>
      <t>en</t>
    </r>
    <r>
      <rPr>
        <sz val="11"/>
        <color theme="1"/>
        <rFont val="Calibri"/>
        <family val="2"/>
        <scheme val="minor"/>
      </rPr>
      <t xml:space="preserve"> de tafelschikking dient ons meegedeeld te worden de vrijdag van het weekend voordien.</t>
    </r>
  </si>
  <si>
    <t>Overzicht van uw selectie:</t>
  </si>
  <si>
    <t>Keuze drank na de maaltijd:</t>
  </si>
  <si>
    <t xml:space="preserve">Groenten en sausen </t>
  </si>
  <si>
    <t>Basisprijs koud buffet (gedetailleerde samenstelling zie hoger):</t>
  </si>
  <si>
    <t>Alle drank na de maaltijd komt op één rekening en wordt door de organisator van het feest betaald</t>
  </si>
  <si>
    <t xml:space="preserve">Vegetariërs: </t>
  </si>
  <si>
    <t>nee</t>
  </si>
  <si>
    <t xml:space="preserve">Speciale dieten: </t>
  </si>
  <si>
    <t xml:space="preserve">Halal bereidingen: </t>
  </si>
  <si>
    <t xml:space="preserve">Feest met discobar: </t>
  </si>
  <si>
    <t>één rekening</t>
  </si>
  <si>
    <t>Elke gast die na de maaltijd een drankje bestelt rekent direct af aan de bar</t>
  </si>
  <si>
    <t>direct afrekenen</t>
  </si>
  <si>
    <t xml:space="preserve">Forfait voor drank naar believen (alle bieren en frisdranken van de drankkaart in de zaal) na een maaltijd. pp: </t>
  </si>
  <si>
    <t>alletwee de prijzen nodig!</t>
  </si>
  <si>
    <t xml:space="preserve">Indien  er geen volwaardige maaltijd wordt genomen, dienen er minstens 4 belegde broodjes genomen te worden en verhoogt het drankforfait tot € 28,00 </t>
  </si>
  <si>
    <t>'s middags tot 21 u - 's avonds onbeperkt. Let op! Artikel 8 van de verkoopsvoorwaarden (zie laatste bladzijde) kan hier van toepassing zijn !!!!</t>
  </si>
  <si>
    <t>Verbruik van DJ  ten laste van de klant</t>
  </si>
  <si>
    <t>Voor onze vegetarische klanten:</t>
  </si>
  <si>
    <t xml:space="preserve">- Voor onze vegetarische klanten bereiden wij graag een aparte schotel. </t>
  </si>
  <si>
    <t>Wij vragen wel met aandrang om op voorhand te melden als er vegetariërs zijn.</t>
  </si>
  <si>
    <t>Zij eten mee aan de prijs van de rest van de groep.</t>
  </si>
  <si>
    <t>Mensen met een speciaal dieet:</t>
  </si>
  <si>
    <t xml:space="preserve">Wij houden rekening met speciale wensen van mensen die een dieet volgen, </t>
  </si>
  <si>
    <t xml:space="preserve">maar alleen indien op voorhand gemeld. </t>
  </si>
  <si>
    <t>Halal kan ook, onder toezicht van een moslim bereid.</t>
  </si>
  <si>
    <t>ja</t>
  </si>
  <si>
    <t>Gaat u akkoord met de algemene verkoopsvoorwaarden?</t>
  </si>
  <si>
    <t>uur van aankomst:</t>
  </si>
  <si>
    <t>aan tafel om:</t>
  </si>
  <si>
    <t>Uw naam:</t>
  </si>
  <si>
    <t>Adres:</t>
  </si>
  <si>
    <t>Stad:</t>
  </si>
  <si>
    <t>Tel nr:</t>
  </si>
  <si>
    <t>Naam Klant:</t>
  </si>
  <si>
    <t>Katelijnenhof</t>
  </si>
  <si>
    <t>Heirweg 172</t>
  </si>
  <si>
    <t>8800 Roeselare</t>
  </si>
  <si>
    <t>Gsm 0475/618058</t>
  </si>
  <si>
    <t>Datum activiteit:</t>
  </si>
  <si>
    <t>aankomst om:</t>
  </si>
  <si>
    <t>volwassenen:</t>
  </si>
  <si>
    <t>JR 1/2 (6 t.e.m. 11) :</t>
  </si>
  <si>
    <t>JR 1/3 (3 t.e.m. 5) :</t>
  </si>
  <si>
    <t>JR gratis (0 t.e.m. 2) :</t>
  </si>
  <si>
    <t>Voorkeur tafelschikking:</t>
  </si>
  <si>
    <t xml:space="preserve">Het juiste aantal EN de gewenste tafelschikking moet ons meegedeeld worden ten laatste op: </t>
  </si>
  <si>
    <t>Wijzigingen na deze datum van aantal en/of tafelschikking hebben prijsherzieningen tot gevolg!</t>
  </si>
  <si>
    <t xml:space="preserve">Dit aantal geldt als minimum voor facturatie. Verdere verkoopsvoorwaarden op een ander werkblad. </t>
  </si>
  <si>
    <t>Vergeet ze niet te lezen.</t>
  </si>
  <si>
    <t>Handtekening der beide partijen voor akkoord:</t>
  </si>
  <si>
    <t>De klant</t>
  </si>
  <si>
    <t>Het Katelijnenhof</t>
  </si>
  <si>
    <t>Koud buffet met volgende specialiteiten:</t>
  </si>
  <si>
    <t>Geschat factuurtotaal:</t>
  </si>
  <si>
    <t>(Gebaseerd op de door u ingebrachte gegevens)</t>
  </si>
  <si>
    <t>korting bij contante betaling:</t>
  </si>
  <si>
    <t>saldo:</t>
  </si>
  <si>
    <t>raming totaal 1:</t>
  </si>
  <si>
    <t>ander rekenblad:</t>
  </si>
  <si>
    <t>huur zaal:</t>
  </si>
  <si>
    <t>geraamde totalen uit andere rekenbladen:</t>
  </si>
  <si>
    <t>(vb: kindermenus)</t>
  </si>
  <si>
    <t>geen voorkeur</t>
  </si>
  <si>
    <t>zoveel mogelijk ronde tafels van 6 à 8 personen</t>
  </si>
  <si>
    <t>liever lange tafels ev. In U-vorm of H-vorm.</t>
  </si>
  <si>
    <t>reden feest:</t>
  </si>
  <si>
    <t>Opmerking:</t>
  </si>
  <si>
    <t>lam, zwanen enz..  . Met foto suppl.</t>
  </si>
  <si>
    <t xml:space="preserve">Foto op de taart: suppl. € </t>
  </si>
  <si>
    <t xml:space="preserve">per stuk taart en € </t>
  </si>
  <si>
    <t xml:space="preserve"> per foto</t>
  </si>
  <si>
    <t>uitgebreide fomule met toostjes in menuvorm (max 3uur)</t>
  </si>
  <si>
    <t>Belangrijk: De prijs van dit dessertbuffet geldt alleen indien voorafgegaan door een maaltijd!!</t>
  </si>
  <si>
    <t>info@katelijnenhof.be</t>
  </si>
  <si>
    <t>Indien een genodigde een extra aperitief bestelt of een aperitief wenst die niet in de prijs begrepen is dan:</t>
  </si>
  <si>
    <t>Huiswijn, bieren en frisdranken als forfait</t>
  </si>
  <si>
    <t>raming te betalen indien contante betaling  (max € 3000 cash):</t>
  </si>
  <si>
    <t>IJstaart ambachtelijk, speciale vorm, smaak naar keuze</t>
  </si>
  <si>
    <t>- frambozentaart</t>
  </si>
  <si>
    <t>- progres</t>
  </si>
  <si>
    <t>Een klassieker.</t>
  </si>
  <si>
    <t>- fruitgebakje</t>
  </si>
  <si>
    <t>- biscuit crème fraiche met coulis</t>
  </si>
  <si>
    <t>- warme appeltaart met een bolletje ijs</t>
  </si>
  <si>
    <t>- zwarte woudtaart</t>
  </si>
  <si>
    <t>Biscuit met cacaopoeder in een tasje.</t>
  </si>
  <si>
    <t>geraamd aantal kinderen 6 j. t.e.m. 11 jr. 11 maand:</t>
  </si>
  <si>
    <t>wachtbordje van lauw slaatje met gerookte zalm en scampi's</t>
  </si>
  <si>
    <t>Wijze van betaling:</t>
  </si>
  <si>
    <t>Uitsplitsing per BTW tarief.</t>
  </si>
  <si>
    <t>Totaalprijs per vol:</t>
  </si>
  <si>
    <t>Menu</t>
  </si>
  <si>
    <t>Totaal aan 21%</t>
  </si>
  <si>
    <t>aantal</t>
  </si>
  <si>
    <t>totaal:</t>
  </si>
  <si>
    <t>deel21%</t>
  </si>
  <si>
    <t>Vol</t>
  </si>
  <si>
    <t>JR 1/2</t>
  </si>
  <si>
    <t>JR 1/3</t>
  </si>
  <si>
    <t>JR gratis</t>
  </si>
  <si>
    <t>Wenst u een factuur?</t>
  </si>
  <si>
    <t>Factuur:</t>
  </si>
  <si>
    <r>
      <t xml:space="preserve">raming </t>
    </r>
    <r>
      <rPr>
        <b/>
        <sz val="11"/>
        <color indexed="8"/>
        <rFont val="Calibri"/>
        <family val="2"/>
        <scheme val="minor"/>
      </rPr>
      <t>algemeen</t>
    </r>
    <r>
      <rPr>
        <sz val="11"/>
        <color theme="1"/>
        <rFont val="Calibri"/>
        <family val="2"/>
        <scheme val="minor"/>
      </rPr>
      <t xml:space="preserve"> totaal:</t>
    </r>
  </si>
  <si>
    <t>x</t>
  </si>
  <si>
    <t>Dep. B</t>
  </si>
  <si>
    <t>Dep. A</t>
  </si>
  <si>
    <t>Voorschot reeds betaald:</t>
  </si>
  <si>
    <t>Gestort / betaald op:</t>
  </si>
  <si>
    <t>Voorschot wordt gesplitst over:</t>
  </si>
  <si>
    <t xml:space="preserve"> volwassenen</t>
  </si>
  <si>
    <t>Input GKS:</t>
  </si>
  <si>
    <t>vol</t>
  </si>
  <si>
    <t>Verwerking voorschot</t>
  </si>
  <si>
    <t>Totale boekwaarde:</t>
  </si>
  <si>
    <t xml:space="preserve">Totaal aantal personen: </t>
  </si>
  <si>
    <t>De aanpassing gebeurt ondertussen automatisch</t>
  </si>
  <si>
    <t>tapenades</t>
  </si>
  <si>
    <t>TIP:</t>
  </si>
  <si>
    <t>Schuimwijn van het huis (reeds inbegrepen)</t>
  </si>
  <si>
    <t>kost evenveel als</t>
  </si>
  <si>
    <t>scampi enz….</t>
  </si>
  <si>
    <t>en nog veel mogelijkheden</t>
  </si>
  <si>
    <t>Domaine Joel Delauny Touraine  en/of Château Reynier, Bordeaux superieur,  bieren en frisdranken</t>
  </si>
  <si>
    <t>Coupe met vers fruit en verse slagroom.</t>
  </si>
  <si>
    <t>Vanilleijs, vers fruit en verse slagroom</t>
  </si>
  <si>
    <t>Coupe met aardbeien en verse slagroom.</t>
  </si>
  <si>
    <t>Vanilleijs, verse aardbeien en verse slagroom</t>
  </si>
  <si>
    <t>Basis dessertbuffet met:</t>
  </si>
  <si>
    <t>vers fruit, verschillende soorten sorbet, chocolademousse, roomijs</t>
  </si>
  <si>
    <t>Uitgebreid dessertbuffet met:</t>
  </si>
  <si>
    <t>variatie van miserable, javanais, pasteis de nata, roomsoes, speculoostaart,</t>
  </si>
  <si>
    <t>Uitgebreid en luxueus dessertbuffet met:</t>
  </si>
  <si>
    <t>Neem contact op met de zaakvoerder op tel nr 0475/618058</t>
  </si>
  <si>
    <t>om hier zeker geen misverstanden over te hebben!</t>
  </si>
  <si>
    <t xml:space="preserve">Allergenen: </t>
  </si>
  <si>
    <t>Betaling op de dag zelf (cash of bancontact), u bekomt 2% korting op het totaal</t>
  </si>
  <si>
    <t>assortiment van mini-bavarois (framboos-passie-zwarte woud-pistache-chocolade praliné)</t>
  </si>
  <si>
    <t>dessertglaasjes (framboos-amandel - trio chocolade - mango-caramel - chocolade praliné)</t>
  </si>
  <si>
    <t>email:</t>
  </si>
  <si>
    <t>email klant:</t>
  </si>
  <si>
    <t>dranken inbegrepen</t>
  </si>
  <si>
    <t>Keuze aperitiefhapjes:</t>
  </si>
  <si>
    <t>gedurende 2 uur</t>
  </si>
  <si>
    <t>Met tapenades:</t>
  </si>
  <si>
    <t>met huis schuimwijn,</t>
  </si>
  <si>
    <t>luzerne met gerookte zalm, eitjes van vliegende vis in wasabi</t>
  </si>
  <si>
    <t>tonijn / pesto spread rosso /zoete peper roomkaas</t>
  </si>
  <si>
    <t>frisdranken en</t>
  </si>
  <si>
    <t>preischeuten met tijgergarnalen en mini tomaat</t>
  </si>
  <si>
    <t>bieren naar believen.</t>
  </si>
  <si>
    <t>aperoglaasje parmaham met meloenbolletjes</t>
  </si>
  <si>
    <t>nootjes en chips inbegr.</t>
  </si>
  <si>
    <t xml:space="preserve">Assortiment van 4  </t>
  </si>
  <si>
    <t>Ook inbegrepen:</t>
  </si>
  <si>
    <t>aperoglaasje parmaham met espuma van mango</t>
  </si>
  <si>
    <t xml:space="preserve">Roomijs </t>
  </si>
  <si>
    <t>aperitiefglaasjes</t>
  </si>
  <si>
    <t>verse oester</t>
  </si>
  <si>
    <t>Bruine chocolademousse</t>
  </si>
  <si>
    <t>inbegrepen.</t>
  </si>
  <si>
    <t>Taboulé met gerookte forel</t>
  </si>
  <si>
    <t>Pasteis de nata</t>
  </si>
  <si>
    <t>Maak uw keuze</t>
  </si>
  <si>
    <t>Haringhapje met curry</t>
  </si>
  <si>
    <t>Chocoladebavarois</t>
  </si>
  <si>
    <t>2 aperitieven pp.</t>
  </si>
  <si>
    <t>hier rechts! =&gt;</t>
  </si>
  <si>
    <t>Miserable</t>
  </si>
  <si>
    <t>En dan is de drank naar</t>
  </si>
  <si>
    <t>glaasje fruitsla met perensorbet</t>
  </si>
  <si>
    <t>believen!</t>
  </si>
  <si>
    <t>Liever meer dan 4 hapjes? Geen probleem.</t>
  </si>
  <si>
    <t>Bord met olijven, kaasjes en salamietjes</t>
  </si>
  <si>
    <t xml:space="preserve">Witte chocolademousse </t>
  </si>
  <si>
    <t>En met tapenades!</t>
  </si>
  <si>
    <t>Het supplement bedraagt € 1,60 per hapje</t>
  </si>
  <si>
    <t>Bord met 3 tapenades (tonijn / pesto spread rosso /zoete peper roomkaas)</t>
  </si>
  <si>
    <t xml:space="preserve">Roomsoes met warme chocoladesaus </t>
  </si>
  <si>
    <t>Tiramisu</t>
  </si>
  <si>
    <t>Breydelspek met mosterdroomsaus</t>
  </si>
  <si>
    <t>Javanais</t>
  </si>
  <si>
    <t>aperoglaasje scampi</t>
  </si>
  <si>
    <t xml:space="preserve">Gebak peer-caramel </t>
  </si>
  <si>
    <t>Warme dagvis met curry</t>
  </si>
  <si>
    <t>mini fruittaartje</t>
  </si>
  <si>
    <t>een gevuld toastcupje</t>
  </si>
  <si>
    <t xml:space="preserve">oester met champagnesaus </t>
  </si>
  <si>
    <t>Aspergeroomsoep met koornbloemblaadjes</t>
  </si>
  <si>
    <t>Pompoensoep (sept. okt. nov.)</t>
  </si>
  <si>
    <t>Kervelroomsoep met gerookte eend</t>
  </si>
  <si>
    <t>Preiroomsoep met broccoligarnituur en gebakken spekjes</t>
  </si>
  <si>
    <t>Soepje van boschampignons met gerookte paling</t>
  </si>
  <si>
    <t>fini</t>
  </si>
  <si>
    <t>supplement per stukje gebak:</t>
  </si>
  <si>
    <t>Stel hieronder uw mini dessertbordje samen met minstens 4 dessertjes</t>
  </si>
  <si>
    <t xml:space="preserve">Keuze: Roomijs en/of Bruine chocolademousse en/of Pasteis de nata en/of </t>
  </si>
  <si>
    <t xml:space="preserve">Chocoladebavarois en/of Miserable en/of glaasje fruitsla met perensorbet en/of </t>
  </si>
  <si>
    <t xml:space="preserve">Witte chocolademousse en/of Roomsoes met warme chocoladesaus en/of Tiramisu en/of </t>
  </si>
  <si>
    <t>Javanais en/of Gebak peer-caramel en/of mini fruittaartje.</t>
  </si>
  <si>
    <t>Selecteer hier uw hapjes:</t>
  </si>
  <si>
    <t>hapjes geselecteerd.</t>
  </si>
  <si>
    <t>Storting op BE 48 4631 1391 2127 min. 7 dagen voor het feest, 2% korting</t>
  </si>
  <si>
    <t>Betaling na het feest. Gelieve 40 % voorschot te storten op BE48 4631 1391 2127. Geen korting.</t>
  </si>
  <si>
    <t>mini kippenboutje</t>
  </si>
  <si>
    <t>ganache van foie gras met frambozenconfituur en amandelbrood</t>
  </si>
  <si>
    <t>Het mag op de gemeenschappelijke rekening.</t>
  </si>
  <si>
    <t>Mini bagel met zalm en kruidenkaas</t>
  </si>
  <si>
    <t>Gepaneerde garnalen butterfly</t>
  </si>
  <si>
    <t>Exclusiviteit voor beide zalen:</t>
  </si>
  <si>
    <t>De gast die niet inbegrepen aperitief bestelt betaalt deze zelf (vb: sterke drank)</t>
  </si>
  <si>
    <t>KOUD</t>
  </si>
  <si>
    <t>crunchy sushi</t>
  </si>
  <si>
    <t>BORD</t>
  </si>
  <si>
    <t>Bord met rauwe groenten en cocktailsaus (wortel, bloemkool, radijs)</t>
  </si>
  <si>
    <t>WARM</t>
  </si>
  <si>
    <t>mini hot-dog</t>
  </si>
  <si>
    <t>frambozenbavarois</t>
  </si>
  <si>
    <t>SOEP</t>
  </si>
  <si>
    <t>Kreeftensoep</t>
  </si>
  <si>
    <t>deel 12%</t>
  </si>
  <si>
    <t>DESSERT</t>
  </si>
  <si>
    <t>mini dame blanche (1 bol in wijnglas)</t>
  </si>
  <si>
    <t>tomaat met krabsla</t>
  </si>
  <si>
    <t>Late night snacks</t>
  </si>
  <si>
    <t>overal op regel 300</t>
  </si>
  <si>
    <t>Croque uit het vuistje</t>
  </si>
  <si>
    <t>Pizza Margherita</t>
  </si>
  <si>
    <t>Belegde broodjes (2 pp)</t>
  </si>
  <si>
    <t>Braadworst</t>
  </si>
  <si>
    <t>Scampi (3pp) Nantua met farfale en broccoli</t>
  </si>
  <si>
    <t>Late night snacks:</t>
  </si>
  <si>
    <t>Keuze mogelijkheden:</t>
  </si>
  <si>
    <t>Prijzen geldig tot 31/03/2023</t>
  </si>
  <si>
    <t xml:space="preserve">Vrij groot stuk met slagroom. Foto op de taart: suppl. € 1 per stuk taart en € 12 per foto </t>
  </si>
  <si>
    <r>
      <t xml:space="preserve">Algemene verkoopsvoorwaarden </t>
    </r>
    <r>
      <rPr>
        <b/>
        <sz val="10"/>
        <color theme="1"/>
        <rFont val="Times New Roman"/>
        <family val="1"/>
      </rPr>
      <t>vanaf 01/11/2022</t>
    </r>
    <r>
      <rPr>
        <sz val="10"/>
        <color theme="1"/>
        <rFont val="Times New Roman"/>
        <family val="1"/>
      </rPr>
      <t>:</t>
    </r>
  </si>
  <si>
    <r>
      <t xml:space="preserve">2) </t>
    </r>
    <r>
      <rPr>
        <b/>
        <sz val="10"/>
        <color theme="1"/>
        <rFont val="Times New Roman"/>
        <family val="1"/>
      </rPr>
      <t>Annulatie</t>
    </r>
    <r>
      <rPr>
        <sz val="10"/>
        <color theme="1"/>
        <rFont val="Times New Roman"/>
        <family val="1"/>
      </rPr>
      <t xml:space="preserve"> dient schriftelijk en gedateerd te geschieden. </t>
    </r>
  </si>
  <si>
    <r>
      <t>In geval van annulatie minder dan 60 dagen voor de activiteit blijft het voorschot eigendom van het Katelijnenhof. Voor annulatie minder dan 10 dagen voor de activiteit is de klant in alle gevallen verplicht 35 % van de reservatie waarde van de gehele manifestatie te vergoeden</t>
    </r>
    <r>
      <rPr>
        <b/>
        <sz val="10"/>
        <color theme="1"/>
        <rFont val="Times New Roman"/>
        <family val="1"/>
      </rPr>
      <t xml:space="preserve">. </t>
    </r>
    <r>
      <rPr>
        <sz val="10"/>
        <color theme="1"/>
        <rFont val="Times New Roman"/>
        <family val="1"/>
      </rPr>
      <t>Bij annulatie minder dan 5 dagen voor  de activiteit is de klant in alle gevallen verplicht de reservatie waarde van de gehele manifestatie te vergoeden.</t>
    </r>
  </si>
  <si>
    <t>3) Iedere levering van dranken, voedingswaren of diensten in de  zalen is uitsluitend voorbehouden aan het Katelijnenhof, tenzij er een andere schriftelijke overeenkomst is.</t>
  </si>
  <si>
    <r>
      <t>4) De klant is eraan gehouden voor iedere dansavond met groot orkest een aanvraag tot toelating in te dienen bij SABAM, Rijselsestraat 51, 8500 Kortrijk, Tel : 056/210738 en alle kosten voortvloeiend uit deze aanvraag te dragen.  Voor een gewone disc-jockey betalen wij jaarlijks een vaste bijdrage</t>
    </r>
    <r>
      <rPr>
        <b/>
        <sz val="10"/>
        <color theme="1"/>
        <rFont val="Times New Roman"/>
        <family val="1"/>
      </rPr>
      <t>. Het verbruik (drank en voeding) van de DJ is ten laste van de klant. Gelet op de nieuwe geluidsnormen</t>
    </r>
    <r>
      <rPr>
        <sz val="10"/>
        <color theme="1"/>
        <rFont val="Times New Roman"/>
        <family val="1"/>
      </rPr>
      <t xml:space="preserve">, van kracht op 01/01/2013, moet de klant de DJ of elke andere persoon of toestel dat  geluid produceert verplichten zich aan deze normen te houden. De toelating voor onze zaal is – maximaal geluidsniveau &gt; 85 dB(A) LAeq,15min en ≤ 95 dB(A) LAeq,15min. Dit is ruim voldoende. </t>
    </r>
    <r>
      <rPr>
        <b/>
        <sz val="10"/>
        <color theme="1"/>
        <rFont val="Times New Roman"/>
        <family val="1"/>
      </rPr>
      <t>Alle boetes ten gevolge een overschrijding van deze voorwaarde zijn ten laste van de klant.</t>
    </r>
    <r>
      <rPr>
        <sz val="10"/>
        <color theme="1"/>
        <rFont val="Times New Roman"/>
        <family val="1"/>
      </rPr>
      <t xml:space="preserve"> Er wordt een professionele houding van elke DJ of geluidstechnicus verwacht.</t>
    </r>
  </si>
  <si>
    <r>
      <t xml:space="preserve">Het is niet toegestaan om muziek af te spelen via B2C diensten zoals </t>
    </r>
    <r>
      <rPr>
        <b/>
        <sz val="10"/>
        <color theme="1"/>
        <rFont val="Times New Roman"/>
        <family val="1"/>
      </rPr>
      <t>Spotify, Deezer, Youtube</t>
    </r>
    <r>
      <rPr>
        <sz val="10"/>
        <color theme="1"/>
        <rFont val="Times New Roman"/>
        <family val="1"/>
      </rPr>
      <t>… Dit geldt voor elke horecazaak, winkel enz… Doet de klant of zijn DJ dat toch en er volgt een boete, dan is deze ten laste van de klant.</t>
    </r>
  </si>
  <si>
    <r>
      <t xml:space="preserve">5) Alle door de klant meegebrachte materiaal dient door de klant te worden verzekerd en direct na het beëindigen van de manifestatie te worden verwijderd uit de zaal. Het Katelijnenhof behoudt het recht de leverancier te aanvaarden en voorschriften te geven om de lokalen ongeschonden te behouden. </t>
    </r>
    <r>
      <rPr>
        <b/>
        <sz val="10"/>
        <color theme="1"/>
        <rFont val="Times New Roman"/>
        <family val="1"/>
      </rPr>
      <t>Het is strikt verboden om versieringen aan de muren of plafonds te bevestigen met duimspijkers of kleefband !</t>
    </r>
    <r>
      <rPr>
        <sz val="10"/>
        <color theme="1"/>
        <rFont val="Times New Roman"/>
        <family val="1"/>
      </rPr>
      <t xml:space="preserve"> Bij beschadigingen van een deel van de muur wordt het geheel als beschadigd beschouwd.</t>
    </r>
  </si>
  <si>
    <r>
      <t xml:space="preserve">6) </t>
    </r>
    <r>
      <rPr>
        <b/>
        <sz val="10"/>
        <color theme="1"/>
        <rFont val="Times New Roman"/>
        <family val="1"/>
      </rPr>
      <t>Het gebruik van de zaal</t>
    </r>
    <r>
      <rPr>
        <sz val="10"/>
        <color theme="1"/>
        <rFont val="Times New Roman"/>
        <family val="1"/>
      </rPr>
      <t xml:space="preserve"> is strikt beperkt tot de in deze overeenkomst vastgestelde functie. Iedere wijziging in de voorheen verklaarde bestemming brengt automatisch het recht tot prijsherziening met zich mee.</t>
    </r>
  </si>
  <si>
    <r>
      <t>7) Het gebruik van de zaal is gratis van zodra het verbruik hoger ligt dan € 1250. Indien het verbruik lager ligt</t>
    </r>
    <r>
      <rPr>
        <sz val="10"/>
        <color rgb="FFFF0000"/>
        <rFont val="Times New Roman"/>
        <family val="1"/>
      </rPr>
      <t>,</t>
    </r>
    <r>
      <rPr>
        <sz val="10"/>
        <color theme="1"/>
        <rFont val="Times New Roman"/>
        <family val="1"/>
      </rPr>
      <t xml:space="preserve"> wordt het factuurbedrag opgetrokken tot € 1250. Indien uw feest cash (max € 3000) of met bancontact betaald wordt op de dag zelf krijgt u een korting van 2 % op de gehele factuur. Voor traiteurdienst gelden andere kortingsregels.</t>
    </r>
  </si>
  <si>
    <r>
      <t xml:space="preserve">8) </t>
    </r>
    <r>
      <rPr>
        <b/>
        <sz val="10"/>
        <color theme="1"/>
        <rFont val="Times New Roman"/>
        <family val="1"/>
      </rPr>
      <t>Sluitingsuren zaal:</t>
    </r>
  </si>
  <si>
    <r>
      <t xml:space="preserve">In geval van een event dat start ’s </t>
    </r>
    <r>
      <rPr>
        <b/>
        <u/>
        <sz val="10"/>
        <color theme="1"/>
        <rFont val="Times New Roman"/>
        <family val="1"/>
      </rPr>
      <t>morgens</t>
    </r>
    <r>
      <rPr>
        <b/>
        <sz val="10"/>
        <color theme="1"/>
        <rFont val="Times New Roman"/>
        <family val="1"/>
      </rPr>
      <t xml:space="preserve"> start tussen 7u en 10u59 (vb. ontbijt)</t>
    </r>
  </si>
  <si>
    <t>Event kan maximaal 6 uur duren.</t>
  </si>
  <si>
    <r>
      <t xml:space="preserve">In geval van een event dat start op de </t>
    </r>
    <r>
      <rPr>
        <b/>
        <u/>
        <sz val="10"/>
        <color theme="1"/>
        <rFont val="Times New Roman"/>
        <family val="1"/>
      </rPr>
      <t>middag</t>
    </r>
    <r>
      <rPr>
        <b/>
        <sz val="10"/>
        <color theme="1"/>
        <rFont val="Times New Roman"/>
        <family val="1"/>
      </rPr>
      <t xml:space="preserve"> start tussen 11u en 13u59</t>
    </r>
  </si>
  <si>
    <t>De bar sluit om 18u00, de zaal sluit om 18u30.</t>
  </si>
  <si>
    <r>
      <t xml:space="preserve">In geval van een event dat start in de </t>
    </r>
    <r>
      <rPr>
        <b/>
        <u/>
        <sz val="10"/>
        <color theme="1"/>
        <rFont val="Times New Roman"/>
        <family val="1"/>
      </rPr>
      <t>namiddag</t>
    </r>
    <r>
      <rPr>
        <b/>
        <sz val="10"/>
        <color theme="1"/>
        <rFont val="Times New Roman"/>
        <family val="1"/>
      </rPr>
      <t xml:space="preserve"> start tussen 14u en 17u59 (vb. babyborrel)</t>
    </r>
  </si>
  <si>
    <r>
      <t xml:space="preserve">In geval van een event dat start ’s </t>
    </r>
    <r>
      <rPr>
        <b/>
        <u/>
        <sz val="10"/>
        <color theme="1"/>
        <rFont val="Times New Roman"/>
        <family val="1"/>
      </rPr>
      <t>avonds</t>
    </r>
    <r>
      <rPr>
        <b/>
        <sz val="10"/>
        <color theme="1"/>
        <rFont val="Times New Roman"/>
        <family val="1"/>
      </rPr>
      <t xml:space="preserve"> start vanaf 18u</t>
    </r>
  </si>
  <si>
    <t>De bar sluit om 2u30, de zaal sluit om 3u.</t>
  </si>
  <si>
    <t>Indien het event toch langer uitloopt dan het sluitingsuur wordt per begonnen uur een toeslag van € 125,00 (btw incl.) aangerekend. Geen enkel drankenforfait geldt dan nog.</t>
  </si>
  <si>
    <r>
      <t xml:space="preserve">9) </t>
    </r>
    <r>
      <rPr>
        <b/>
        <sz val="10"/>
        <color theme="1"/>
        <rFont val="Times New Roman"/>
        <family val="1"/>
      </rPr>
      <t>De klant is verantwoordelijk voor de goede orde in en rond de feestzaal.</t>
    </r>
    <r>
      <rPr>
        <sz val="10"/>
        <color theme="1"/>
        <rFont val="Times New Roman"/>
        <family val="1"/>
      </rPr>
      <t xml:space="preserve"> Schade veroorzaakt door een der aanwezigen kan verhaald worden op deze persoon maar als deze om gelijk welke reden de schade niet kan vergoeden (vb: te weinig financiële middelen of de veroorzaker is onbekend) kan deze schade eveneens ondeelbaar worden verhaald op de klant , zijnde de persoon die het feest heeft besteld. </t>
    </r>
  </si>
  <si>
    <r>
      <t xml:space="preserve">10) </t>
    </r>
    <r>
      <rPr>
        <b/>
        <sz val="10"/>
        <color theme="1"/>
        <rFont val="Times New Roman"/>
        <family val="1"/>
      </rPr>
      <t>Energietoeslag.</t>
    </r>
    <r>
      <rPr>
        <sz val="10"/>
        <color theme="1"/>
        <rFont val="Times New Roman"/>
        <family val="1"/>
      </rPr>
      <t xml:space="preserve"> De energieprijzen zijn momenteel op hol geslagen. Het kan zijn dat wij genoodzaakt zijn een energietoeslag voor het gebruik van de zaal aan te rekenen. U wordt in voorkomend geval op voorhand verwittigd en mag uw feest kosteloos annuleren indien u deze niet wenst te betalen.</t>
    </r>
  </si>
  <si>
    <r>
      <t xml:space="preserve">1) Onze facturen zijn </t>
    </r>
    <r>
      <rPr>
        <b/>
        <sz val="10"/>
        <color theme="1"/>
        <rFont val="Times New Roman"/>
        <family val="1"/>
      </rPr>
      <t>contant te betalen</t>
    </r>
    <r>
      <rPr>
        <sz val="10"/>
        <color theme="1"/>
        <rFont val="Times New Roman"/>
        <family val="1"/>
      </rPr>
      <t xml:space="preserve"> bij levering van de goederen, dit is de dag van het event. Bijgevolg zal in geval van laattijdige betaling van rechtswege en zonder voorafgaande ingebrekestelling een intrest aangerekend worden van 12% per jaar op de bedragen, verschuldigd acht dagen na de vervaldag van de facturen. Tevens zal bij gebrek aan betaling na aanmaning bij gewone brief, het verschuldigde bedrag van rechtswege verhoogd worden met een forfaitaire vergoeding van 12 % met een minimum van € 50  voor bijkomende administratieve kosten, debiteurenbewaking en commerciële stoornissen. Wij behouden ons het recht voor op elk moment de leveringen te staken. Elke klacht over de kwaliteit van de geleverde goederen moet uiterlijk 24 uur na de levering worden overgemaakt.</t>
    </r>
  </si>
  <si>
    <t xml:space="preserve"> Klachten in verband met facturatie kunnen slechts in aanmerking worden genomen zo zij binnen de acht dagen na ontvangst van de goederen bij aangetekende brief worden meegedeeld. In geval van betwisting zijn uitsluitend de rechtbanken van Kortrijk bevoegd. De leveringen  geschieden op risico van de bestemmeling. Er wordt uitdrukkelijk overeengekomen dat de klant door het plaatsen van een bestelling onze algemene verkoopsvoorwaarden erkent. Elke wijziging hieraan moet voorafgaandelijk in een schriftelijk akkoord worden vastgelegd.</t>
  </si>
  <si>
    <t>Geen voorkeur</t>
  </si>
  <si>
    <t>Cd’s van het Katelijnenhof</t>
  </si>
  <si>
    <t>Eigen Cd's</t>
  </si>
  <si>
    <t>Joe 60&amp;70</t>
  </si>
  <si>
    <t>Joe 80&amp;90</t>
  </si>
  <si>
    <t>Joe easy</t>
  </si>
  <si>
    <t>Joe lage landen</t>
  </si>
  <si>
    <t>MNM</t>
  </si>
  <si>
    <t>MNM hits</t>
  </si>
  <si>
    <t>Nostalgie</t>
  </si>
  <si>
    <t>Q-foute radio</t>
  </si>
  <si>
    <t>Q-Max hits</t>
  </si>
  <si>
    <t>Q Music</t>
  </si>
  <si>
    <t>Radio 2 Bene Bene</t>
  </si>
  <si>
    <t>Radio 2 West-Vlaanderen</t>
  </si>
  <si>
    <t>Radio 1</t>
  </si>
  <si>
    <t>Studio Brussel</t>
  </si>
  <si>
    <t>Studio Brussel de tijdloze</t>
  </si>
  <si>
    <t>Top Radio</t>
  </si>
  <si>
    <t>Top Versuz Radio</t>
  </si>
  <si>
    <t>NRJ</t>
  </si>
  <si>
    <t>Klara</t>
  </si>
  <si>
    <t>Radio Bingo</t>
  </si>
  <si>
    <t>Joe</t>
  </si>
  <si>
    <t>Keuze achtergrondmuziek: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</si>
</sst>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quot;€&quot;\ \-#,##0.00"/>
    <numFmt numFmtId="165" formatCode="&quot;€&quot;\ #,##0.00"/>
    <numFmt numFmtId="166" formatCode="d/mm/yyyy;@"/>
  </numFmts>
  <fonts count="34" x14ac:knownFonts="1">
    <font>
      <sz val="11"/>
      <color theme="1"/>
      <name val="Calibri"/>
      <family val="2"/>
      <scheme val="minor"/>
    </font>
    <font>
      <b/>
      <sz val="12"/>
      <color indexed="8"/>
      <name val="Calibri"/>
      <family val="2"/>
    </font>
    <font>
      <b/>
      <sz val="20"/>
      <color indexed="8"/>
      <name val="Calibri"/>
      <family val="2"/>
    </font>
    <font>
      <b/>
      <u/>
      <sz val="11"/>
      <color indexed="8"/>
      <name val="Calibri"/>
      <family val="2"/>
    </font>
    <font>
      <b/>
      <sz val="20"/>
      <name val="Calibri"/>
      <family val="2"/>
    </font>
    <font>
      <b/>
      <u/>
      <sz val="14"/>
      <color indexed="8"/>
      <name val="Calibri"/>
      <family val="2"/>
    </font>
    <font>
      <sz val="11"/>
      <color theme="0"/>
      <name val="Calibri"/>
      <family val="2"/>
      <scheme val="minor"/>
    </font>
    <font>
      <b/>
      <sz val="11"/>
      <color theme="1"/>
      <name val="Calibri"/>
      <family val="2"/>
      <scheme val="minor"/>
    </font>
    <font>
      <sz val="11"/>
      <color theme="2" tint="-0.749992370372631"/>
      <name val="Calibri"/>
      <family val="2"/>
      <scheme val="minor"/>
    </font>
    <font>
      <b/>
      <sz val="11"/>
      <color theme="2" tint="-0.74999237037263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b/>
      <sz val="20"/>
      <color theme="1"/>
      <name val="Calibri"/>
      <family val="2"/>
      <scheme val="minor"/>
    </font>
    <font>
      <sz val="20"/>
      <color theme="1"/>
      <name val="Calibri"/>
      <family val="2"/>
      <scheme val="minor"/>
    </font>
    <font>
      <u/>
      <sz val="11"/>
      <color theme="1"/>
      <name val="Calibri"/>
      <family val="2"/>
      <scheme val="minor"/>
    </font>
    <font>
      <b/>
      <sz val="14"/>
      <color theme="1"/>
      <name val="Calibri"/>
      <family val="2"/>
      <scheme val="minor"/>
    </font>
    <font>
      <sz val="8"/>
      <color theme="1"/>
      <name val="Calibri"/>
      <family val="2"/>
      <scheme val="minor"/>
    </font>
    <font>
      <b/>
      <u/>
      <sz val="11"/>
      <color theme="1"/>
      <name val="Calibri"/>
      <family val="2"/>
      <scheme val="minor"/>
    </font>
    <font>
      <b/>
      <sz val="10"/>
      <color theme="1"/>
      <name val="Calibri"/>
      <family val="2"/>
      <scheme val="minor"/>
    </font>
    <font>
      <sz val="10"/>
      <color theme="1"/>
      <name val="Calibri"/>
      <family val="2"/>
      <scheme val="minor"/>
    </font>
    <font>
      <b/>
      <sz val="11"/>
      <color indexed="8"/>
      <name val="Calibri"/>
      <family val="2"/>
      <scheme val="minor"/>
    </font>
    <font>
      <i/>
      <sz val="8"/>
      <color theme="1"/>
      <name val="Calibri"/>
      <family val="2"/>
      <scheme val="minor"/>
    </font>
    <font>
      <sz val="9"/>
      <color theme="1"/>
      <name val="Calibri"/>
      <family val="2"/>
      <scheme val="minor"/>
    </font>
    <font>
      <sz val="11"/>
      <color rgb="FF000000"/>
      <name val="Calibri"/>
      <family val="2"/>
      <scheme val="minor"/>
    </font>
    <font>
      <sz val="11"/>
      <color rgb="FF000000"/>
      <name val="Calibri"/>
      <family val="2"/>
    </font>
    <font>
      <b/>
      <sz val="11"/>
      <color theme="0"/>
      <name val="Calibri"/>
      <family val="2"/>
      <scheme val="minor"/>
    </font>
    <font>
      <b/>
      <sz val="16"/>
      <color theme="0"/>
      <name val="Calibri"/>
      <family val="2"/>
      <scheme val="minor"/>
    </font>
    <font>
      <sz val="12"/>
      <color theme="0"/>
      <name val="Arial"/>
      <family val="2"/>
    </font>
    <font>
      <b/>
      <i/>
      <sz val="12"/>
      <color theme="0"/>
      <name val="Arial"/>
      <family val="2"/>
    </font>
    <font>
      <sz val="10"/>
      <color theme="1"/>
      <name val="Times New Roman"/>
      <family val="1"/>
    </font>
    <font>
      <b/>
      <sz val="10"/>
      <color theme="1"/>
      <name val="Times New Roman"/>
      <family val="1"/>
    </font>
    <font>
      <sz val="10"/>
      <color rgb="FFFF0000"/>
      <name val="Times New Roman"/>
      <family val="1"/>
    </font>
    <font>
      <b/>
      <u/>
      <sz val="10"/>
      <color theme="1"/>
      <name val="Times New Roman"/>
      <family val="1"/>
    </font>
  </fonts>
  <fills count="9">
    <fill>
      <patternFill patternType="none"/>
    </fill>
    <fill>
      <patternFill patternType="gray125"/>
    </fill>
    <fill>
      <patternFill patternType="solid">
        <fgColor rgb="FFFFC000"/>
        <bgColor indexed="64"/>
      </patternFill>
    </fill>
    <fill>
      <patternFill patternType="solid">
        <fgColor theme="6" tint="0.399975585192419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6" tint="0.79998168889431442"/>
        <bgColor indexed="64"/>
      </patternFill>
    </fill>
  </fills>
  <borders count="3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s>
  <cellStyleXfs count="1">
    <xf numFmtId="0" fontId="0" fillId="0" borderId="0"/>
  </cellStyleXfs>
  <cellXfs count="164">
    <xf numFmtId="0" fontId="0" fillId="0" borderId="0" xfId="0"/>
    <xf numFmtId="0" fontId="8" fillId="0" borderId="0" xfId="0" applyFont="1" applyFill="1"/>
    <xf numFmtId="0" fontId="9" fillId="0" borderId="0" xfId="0" applyFont="1" applyFill="1"/>
    <xf numFmtId="0" fontId="10" fillId="0" borderId="0" xfId="0" applyFont="1"/>
    <xf numFmtId="0" fontId="0" fillId="0" borderId="1" xfId="0" applyBorder="1" applyAlignment="1">
      <alignment horizontal="center"/>
    </xf>
    <xf numFmtId="0" fontId="0" fillId="0" borderId="0" xfId="0" applyAlignment="1">
      <alignment horizontal="center"/>
    </xf>
    <xf numFmtId="0" fontId="0" fillId="0" borderId="2" xfId="0" applyBorder="1" applyAlignment="1">
      <alignment horizontal="center"/>
    </xf>
    <xf numFmtId="0" fontId="11" fillId="0" borderId="0" xfId="0" applyFont="1" applyAlignment="1">
      <alignment horizontal="right"/>
    </xf>
    <xf numFmtId="0" fontId="12" fillId="0" borderId="0" xfId="0" applyFont="1"/>
    <xf numFmtId="2" fontId="0" fillId="0" borderId="0" xfId="0" applyNumberFormat="1"/>
    <xf numFmtId="2" fontId="0" fillId="0" borderId="3" xfId="0" quotePrefix="1" applyNumberFormat="1" applyBorder="1" applyAlignment="1">
      <alignment horizontal="center"/>
    </xf>
    <xf numFmtId="2" fontId="0" fillId="0" borderId="0" xfId="0" applyNumberFormat="1" applyAlignment="1">
      <alignment horizontal="center"/>
    </xf>
    <xf numFmtId="2" fontId="0" fillId="0" borderId="3" xfId="0" applyNumberFormat="1" applyBorder="1" applyAlignment="1">
      <alignment horizontal="center"/>
    </xf>
    <xf numFmtId="0" fontId="13" fillId="0" borderId="0" xfId="0" applyFont="1" applyAlignment="1">
      <alignment horizontal="left"/>
    </xf>
    <xf numFmtId="0" fontId="7" fillId="0" borderId="0" xfId="0" applyFont="1"/>
    <xf numFmtId="0" fontId="6" fillId="0" borderId="0" xfId="0" applyFont="1"/>
    <xf numFmtId="2" fontId="0" fillId="0" borderId="0" xfId="0" applyNumberFormat="1" applyAlignment="1">
      <alignment horizontal="right"/>
    </xf>
    <xf numFmtId="2" fontId="11" fillId="3" borderId="4" xfId="0" applyNumberFormat="1" applyFont="1" applyFill="1" applyBorder="1" applyAlignment="1">
      <alignment horizontal="right"/>
    </xf>
    <xf numFmtId="2" fontId="0" fillId="0" borderId="0" xfId="0" applyNumberFormat="1" applyBorder="1" applyAlignment="1">
      <alignment horizontal="center"/>
    </xf>
    <xf numFmtId="2" fontId="0" fillId="0" borderId="0" xfId="0" quotePrefix="1" applyNumberFormat="1" applyBorder="1" applyAlignment="1">
      <alignment horizontal="left"/>
    </xf>
    <xf numFmtId="0" fontId="0" fillId="2" borderId="0" xfId="0" applyFill="1" applyAlignment="1">
      <alignment horizontal="center"/>
    </xf>
    <xf numFmtId="0" fontId="0" fillId="4" borderId="0" xfId="0" applyFill="1" applyProtection="1">
      <protection locked="0" hidden="1"/>
    </xf>
    <xf numFmtId="0" fontId="0" fillId="0" borderId="0" xfId="0" applyAlignment="1">
      <alignment horizontal="right"/>
    </xf>
    <xf numFmtId="14" fontId="0" fillId="4" borderId="0" xfId="0" applyNumberFormat="1" applyFill="1" applyProtection="1">
      <protection locked="0" hidden="1"/>
    </xf>
    <xf numFmtId="0" fontId="0" fillId="0" borderId="0" xfId="0" applyBorder="1" applyAlignment="1">
      <alignment horizontal="right"/>
    </xf>
    <xf numFmtId="0" fontId="0" fillId="0" borderId="0" xfId="0" applyProtection="1">
      <protection hidden="1"/>
    </xf>
    <xf numFmtId="0" fontId="7" fillId="5" borderId="0" xfId="0" applyFont="1" applyFill="1"/>
    <xf numFmtId="0" fontId="0" fillId="5" borderId="0" xfId="0" applyFill="1"/>
    <xf numFmtId="0" fontId="14" fillId="5" borderId="5" xfId="0" applyFont="1" applyFill="1" applyBorder="1"/>
    <xf numFmtId="0" fontId="0" fillId="5" borderId="6" xfId="0" applyFill="1" applyBorder="1"/>
    <xf numFmtId="2" fontId="0" fillId="5" borderId="7" xfId="0" applyNumberFormat="1" applyFill="1" applyBorder="1"/>
    <xf numFmtId="0" fontId="0" fillId="5" borderId="8" xfId="0" applyFont="1" applyFill="1" applyBorder="1"/>
    <xf numFmtId="0" fontId="0" fillId="5" borderId="0" xfId="0" applyFill="1" applyBorder="1"/>
    <xf numFmtId="2" fontId="0" fillId="5" borderId="9" xfId="0" applyNumberFormat="1" applyFill="1" applyBorder="1"/>
    <xf numFmtId="2" fontId="0" fillId="5" borderId="9" xfId="0" applyNumberFormat="1" applyFill="1" applyBorder="1" applyAlignment="1">
      <alignment horizontal="right"/>
    </xf>
    <xf numFmtId="0" fontId="0" fillId="5" borderId="10" xfId="0" applyFont="1" applyFill="1" applyBorder="1"/>
    <xf numFmtId="0" fontId="0" fillId="5" borderId="11" xfId="0" applyFill="1" applyBorder="1"/>
    <xf numFmtId="2" fontId="0" fillId="5" borderId="12" xfId="0" applyNumberFormat="1" applyFill="1" applyBorder="1"/>
    <xf numFmtId="0" fontId="0" fillId="5" borderId="13" xfId="0" applyFill="1" applyBorder="1"/>
    <xf numFmtId="0" fontId="0" fillId="5" borderId="14" xfId="0" applyFill="1" applyBorder="1"/>
    <xf numFmtId="2" fontId="0" fillId="5" borderId="15" xfId="0" applyNumberFormat="1" applyFill="1" applyBorder="1" applyAlignment="1">
      <alignment horizontal="right"/>
    </xf>
    <xf numFmtId="2" fontId="0" fillId="5" borderId="12" xfId="0" applyNumberFormat="1" applyFill="1" applyBorder="1" applyAlignment="1">
      <alignment horizontal="right"/>
    </xf>
    <xf numFmtId="2" fontId="6" fillId="0" borderId="0" xfId="0" applyNumberFormat="1" applyFont="1" applyAlignment="1">
      <alignment horizontal="right"/>
    </xf>
    <xf numFmtId="0" fontId="0" fillId="5" borderId="11" xfId="0" applyFill="1" applyBorder="1" applyAlignment="1">
      <alignment horizontal="right"/>
    </xf>
    <xf numFmtId="2" fontId="6" fillId="0" borderId="0" xfId="0" applyNumberFormat="1" applyFont="1"/>
    <xf numFmtId="0" fontId="0" fillId="0" borderId="0" xfId="0" applyAlignment="1">
      <alignment horizontal="left"/>
    </xf>
    <xf numFmtId="0" fontId="15" fillId="0" borderId="0" xfId="0" applyFont="1" applyBorder="1"/>
    <xf numFmtId="0" fontId="0" fillId="0" borderId="0" xfId="0" applyFill="1" applyBorder="1" applyAlignment="1">
      <alignment horizontal="right"/>
    </xf>
    <xf numFmtId="165" fontId="0" fillId="5" borderId="4" xfId="0" applyNumberFormat="1" applyFill="1" applyBorder="1"/>
    <xf numFmtId="164" fontId="0" fillId="4" borderId="0" xfId="0" applyNumberFormat="1" applyFill="1" applyProtection="1">
      <protection locked="0" hidden="1"/>
    </xf>
    <xf numFmtId="0" fontId="16" fillId="0" borderId="0" xfId="0" applyFont="1"/>
    <xf numFmtId="0" fontId="17" fillId="0" borderId="0" xfId="0" applyFont="1" applyAlignment="1">
      <alignment horizontal="right" vertical="center"/>
    </xf>
    <xf numFmtId="0" fontId="17" fillId="0" borderId="0" xfId="0" applyFont="1"/>
    <xf numFmtId="2" fontId="17" fillId="0" borderId="0" xfId="0" applyNumberFormat="1" applyFont="1" applyAlignment="1">
      <alignment horizontal="right" vertical="center"/>
    </xf>
    <xf numFmtId="2" fontId="7" fillId="0" borderId="0" xfId="0" applyNumberFormat="1" applyFont="1" applyAlignment="1">
      <alignment horizontal="right"/>
    </xf>
    <xf numFmtId="0" fontId="18" fillId="0" borderId="0" xfId="0" applyFont="1"/>
    <xf numFmtId="0" fontId="8" fillId="0" borderId="0" xfId="0" applyFont="1" applyFill="1" applyAlignment="1">
      <alignment horizontal="left"/>
    </xf>
    <xf numFmtId="0" fontId="7" fillId="0" borderId="0" xfId="0" applyFont="1" applyAlignment="1">
      <alignment horizontal="right"/>
    </xf>
    <xf numFmtId="0" fontId="0" fillId="0" borderId="0" xfId="0" applyFont="1"/>
    <xf numFmtId="0" fontId="19" fillId="0" borderId="0" xfId="0" applyFont="1" applyAlignment="1">
      <alignment vertical="center"/>
    </xf>
    <xf numFmtId="0" fontId="0" fillId="0" borderId="0" xfId="0" applyFont="1" applyAlignment="1">
      <alignment horizontal="right"/>
    </xf>
    <xf numFmtId="2" fontId="0" fillId="0" borderId="0" xfId="0" applyNumberFormat="1" applyFont="1"/>
    <xf numFmtId="0" fontId="19" fillId="0" borderId="0" xfId="0" applyFont="1" applyAlignment="1">
      <alignment horizontal="right" vertical="center"/>
    </xf>
    <xf numFmtId="0" fontId="0" fillId="0" borderId="0" xfId="0" applyFont="1" applyAlignment="1">
      <alignment horizontal="left"/>
    </xf>
    <xf numFmtId="0" fontId="20" fillId="0" borderId="0" xfId="0" applyFont="1" applyAlignment="1">
      <alignment horizontal="right" vertical="center"/>
    </xf>
    <xf numFmtId="0" fontId="0" fillId="0" borderId="0" xfId="0" applyFont="1" applyAlignment="1">
      <alignment horizontal="center"/>
    </xf>
    <xf numFmtId="0" fontId="0" fillId="7" borderId="20" xfId="0" applyFont="1" applyFill="1" applyBorder="1" applyAlignment="1">
      <alignment horizontal="center"/>
    </xf>
    <xf numFmtId="0" fontId="0" fillId="7" borderId="21" xfId="0" applyFont="1" applyFill="1" applyBorder="1" applyAlignment="1">
      <alignment horizontal="center"/>
    </xf>
    <xf numFmtId="0" fontId="0" fillId="2" borderId="23" xfId="0" applyFont="1" applyFill="1" applyBorder="1" applyAlignment="1">
      <alignment horizontal="center"/>
    </xf>
    <xf numFmtId="2" fontId="0" fillId="2" borderId="23" xfId="0" applyNumberFormat="1" applyFont="1" applyFill="1" applyBorder="1" applyAlignment="1">
      <alignment horizontal="center"/>
    </xf>
    <xf numFmtId="0" fontId="20" fillId="6" borderId="0" xfId="0" applyFont="1" applyFill="1" applyAlignment="1">
      <alignment horizontal="left" vertical="center"/>
    </xf>
    <xf numFmtId="0" fontId="0" fillId="6" borderId="0" xfId="0" applyFont="1" applyFill="1"/>
    <xf numFmtId="0" fontId="20" fillId="0" borderId="0" xfId="0" applyFont="1" applyAlignment="1">
      <alignment vertical="center"/>
    </xf>
    <xf numFmtId="14" fontId="0" fillId="0" borderId="0" xfId="0" applyNumberFormat="1" applyFont="1"/>
    <xf numFmtId="165" fontId="0" fillId="0" borderId="0" xfId="0" applyNumberFormat="1" applyFont="1"/>
    <xf numFmtId="2" fontId="0" fillId="0" borderId="0" xfId="0" applyNumberFormat="1" applyFont="1" applyAlignment="1">
      <alignment horizontal="right"/>
    </xf>
    <xf numFmtId="0" fontId="19" fillId="0" borderId="0" xfId="0" applyFont="1" applyAlignment="1">
      <alignment horizontal="left" vertical="center"/>
    </xf>
    <xf numFmtId="0" fontId="0" fillId="0" borderId="0" xfId="0" applyFont="1" applyBorder="1"/>
    <xf numFmtId="0" fontId="0" fillId="0" borderId="11" xfId="0" applyFont="1" applyBorder="1"/>
    <xf numFmtId="0" fontId="19" fillId="0" borderId="0" xfId="0" applyFont="1" applyBorder="1" applyAlignment="1">
      <alignment horizontal="center" vertical="center"/>
    </xf>
    <xf numFmtId="0" fontId="17" fillId="0" borderId="0" xfId="0" applyFont="1" applyAlignment="1">
      <alignment horizontal="center"/>
    </xf>
    <xf numFmtId="2" fontId="17" fillId="0" borderId="23" xfId="0" applyNumberFormat="1" applyFont="1" applyBorder="1"/>
    <xf numFmtId="2" fontId="17" fillId="0" borderId="26" xfId="0" applyNumberFormat="1" applyFont="1" applyBorder="1"/>
    <xf numFmtId="2" fontId="0" fillId="0" borderId="27" xfId="0" applyNumberFormat="1" applyFont="1" applyBorder="1" applyAlignment="1">
      <alignment horizontal="center"/>
    </xf>
    <xf numFmtId="2" fontId="17" fillId="0" borderId="28" xfId="0" applyNumberFormat="1" applyFont="1" applyBorder="1"/>
    <xf numFmtId="2" fontId="17" fillId="0" borderId="23" xfId="0" applyNumberFormat="1" applyFont="1" applyBorder="1" applyAlignment="1">
      <alignment horizontal="right"/>
    </xf>
    <xf numFmtId="0" fontId="0" fillId="2" borderId="29" xfId="0" applyFont="1" applyFill="1" applyBorder="1" applyAlignment="1">
      <alignment horizontal="center"/>
    </xf>
    <xf numFmtId="2" fontId="17" fillId="0" borderId="26" xfId="0" applyNumberFormat="1" applyFont="1" applyBorder="1" applyAlignment="1">
      <alignment horizontal="right"/>
    </xf>
    <xf numFmtId="2" fontId="0" fillId="0" borderId="30" xfId="0" applyNumberFormat="1" applyFont="1" applyBorder="1" applyAlignment="1">
      <alignment horizontal="center"/>
    </xf>
    <xf numFmtId="2" fontId="17" fillId="0" borderId="28" xfId="0" applyNumberFormat="1" applyFont="1" applyBorder="1" applyAlignment="1">
      <alignment horizontal="right"/>
    </xf>
    <xf numFmtId="0" fontId="0" fillId="0" borderId="0" xfId="0" applyFont="1" applyFill="1" applyBorder="1" applyAlignment="1">
      <alignment horizontal="right"/>
    </xf>
    <xf numFmtId="0" fontId="0" fillId="8" borderId="1" xfId="0" applyFont="1" applyFill="1" applyBorder="1" applyAlignment="1">
      <alignment horizontal="center"/>
    </xf>
    <xf numFmtId="2" fontId="17" fillId="0" borderId="0" xfId="0" applyNumberFormat="1" applyFont="1" applyBorder="1" applyAlignment="1">
      <alignment horizontal="right"/>
    </xf>
    <xf numFmtId="0" fontId="0" fillId="0" borderId="18" xfId="0" applyFont="1" applyBorder="1"/>
    <xf numFmtId="0" fontId="0" fillId="0" borderId="31" xfId="0" applyFont="1" applyBorder="1" applyAlignment="1">
      <alignment horizontal="center"/>
    </xf>
    <xf numFmtId="0" fontId="0" fillId="0" borderId="24" xfId="0" applyFont="1" applyBorder="1" applyAlignment="1">
      <alignment horizontal="center"/>
    </xf>
    <xf numFmtId="2" fontId="0" fillId="0" borderId="23" xfId="0" applyNumberFormat="1" applyFont="1" applyBorder="1" applyAlignment="1">
      <alignment horizontal="center"/>
    </xf>
    <xf numFmtId="9" fontId="0" fillId="0" borderId="23" xfId="0" applyNumberFormat="1" applyFont="1" applyBorder="1" applyAlignment="1">
      <alignment horizontal="center"/>
    </xf>
    <xf numFmtId="0" fontId="0" fillId="0" borderId="23" xfId="0" applyFont="1" applyBorder="1" applyAlignment="1">
      <alignment horizontal="center"/>
    </xf>
    <xf numFmtId="0" fontId="22" fillId="0" borderId="0" xfId="0" applyFont="1" applyBorder="1"/>
    <xf numFmtId="0" fontId="0" fillId="0" borderId="9" xfId="0" applyFont="1" applyBorder="1"/>
    <xf numFmtId="0" fontId="0" fillId="0" borderId="32" xfId="0" applyFont="1" applyBorder="1" applyAlignment="1">
      <alignment horizontal="center"/>
    </xf>
    <xf numFmtId="0" fontId="0" fillId="0" borderId="34" xfId="0" applyFont="1" applyBorder="1" applyAlignment="1">
      <alignment horizontal="center"/>
    </xf>
    <xf numFmtId="0" fontId="0" fillId="0" borderId="35" xfId="0" applyFont="1" applyBorder="1" applyAlignment="1">
      <alignment horizontal="center"/>
    </xf>
    <xf numFmtId="0" fontId="0" fillId="0" borderId="36" xfId="0" applyFont="1" applyBorder="1" applyAlignment="1">
      <alignment horizontal="center"/>
    </xf>
    <xf numFmtId="2" fontId="0" fillId="0" borderId="36" xfId="0" applyNumberFormat="1" applyFont="1" applyBorder="1" applyAlignment="1">
      <alignment horizontal="center"/>
    </xf>
    <xf numFmtId="9" fontId="0" fillId="0" borderId="36" xfId="0" applyNumberFormat="1" applyFont="1" applyBorder="1" applyAlignment="1">
      <alignment horizontal="center"/>
    </xf>
    <xf numFmtId="0" fontId="23" fillId="0" borderId="0" xfId="0" applyFont="1" applyAlignment="1">
      <alignment horizontal="right"/>
    </xf>
    <xf numFmtId="0" fontId="0" fillId="0" borderId="4" xfId="0" applyFont="1" applyFill="1" applyBorder="1" applyAlignment="1">
      <alignment horizontal="center"/>
    </xf>
    <xf numFmtId="0" fontId="0" fillId="2" borderId="23" xfId="0" applyFill="1" applyBorder="1"/>
    <xf numFmtId="0" fontId="0" fillId="2" borderId="26" xfId="0" applyFill="1" applyBorder="1"/>
    <xf numFmtId="0" fontId="0" fillId="2" borderId="28" xfId="0" applyFill="1" applyBorder="1"/>
    <xf numFmtId="0" fontId="0" fillId="4" borderId="0" xfId="0" applyFill="1"/>
    <xf numFmtId="0" fontId="0" fillId="4" borderId="0" xfId="0" applyFill="1" applyProtection="1">
      <protection locked="0"/>
    </xf>
    <xf numFmtId="14" fontId="6" fillId="0" borderId="0" xfId="0" applyNumberFormat="1" applyFont="1"/>
    <xf numFmtId="0" fontId="24" fillId="0" borderId="0" xfId="0" applyFont="1" applyAlignment="1">
      <alignment horizontal="right" vertical="center"/>
    </xf>
    <xf numFmtId="0" fontId="6" fillId="0" borderId="0" xfId="0" applyFont="1" applyFill="1"/>
    <xf numFmtId="2" fontId="6" fillId="0" borderId="0" xfId="0" applyNumberFormat="1" applyFont="1" applyFill="1"/>
    <xf numFmtId="0" fontId="6" fillId="0" borderId="0" xfId="0" applyFont="1" applyFill="1" applyAlignment="1">
      <alignment textRotation="45"/>
    </xf>
    <xf numFmtId="0" fontId="6" fillId="0" borderId="0" xfId="0" applyFont="1" applyFill="1" applyAlignment="1"/>
    <xf numFmtId="165" fontId="6" fillId="0" borderId="0" xfId="0" applyNumberFormat="1" applyFont="1" applyFill="1"/>
    <xf numFmtId="0" fontId="27" fillId="0" borderId="0" xfId="0" applyFont="1" applyFill="1"/>
    <xf numFmtId="0" fontId="26" fillId="0" borderId="16" xfId="0" applyFont="1" applyFill="1" applyBorder="1"/>
    <xf numFmtId="0" fontId="26" fillId="0" borderId="17" xfId="0" applyFont="1" applyFill="1" applyBorder="1"/>
    <xf numFmtId="0" fontId="26" fillId="0" borderId="18" xfId="0" applyFont="1" applyFill="1" applyBorder="1"/>
    <xf numFmtId="0" fontId="26" fillId="0" borderId="0" xfId="0" applyFont="1" applyFill="1" applyBorder="1"/>
    <xf numFmtId="0" fontId="26" fillId="0" borderId="9" xfId="0" applyFont="1" applyFill="1" applyBorder="1"/>
    <xf numFmtId="0" fontId="6" fillId="0" borderId="13" xfId="0" applyFont="1" applyFill="1" applyBorder="1"/>
    <xf numFmtId="0" fontId="6" fillId="0" borderId="14" xfId="0" applyFont="1" applyFill="1" applyBorder="1"/>
    <xf numFmtId="0" fontId="6" fillId="0" borderId="15" xfId="0" applyFont="1" applyFill="1" applyBorder="1"/>
    <xf numFmtId="166" fontId="6" fillId="0" borderId="0" xfId="0" applyNumberFormat="1" applyFont="1" applyFill="1"/>
    <xf numFmtId="2" fontId="6" fillId="0" borderId="8" xfId="0" applyNumberFormat="1" applyFont="1" applyFill="1" applyBorder="1"/>
    <xf numFmtId="2" fontId="28" fillId="0" borderId="0" xfId="0" applyNumberFormat="1" applyFont="1" applyFill="1"/>
    <xf numFmtId="2" fontId="28" fillId="0" borderId="0" xfId="0" applyNumberFormat="1" applyFont="1" applyFill="1" applyAlignment="1">
      <alignment horizontal="center"/>
    </xf>
    <xf numFmtId="2" fontId="29" fillId="0" borderId="0" xfId="0" applyNumberFormat="1" applyFont="1" applyFill="1" applyAlignment="1">
      <alignment horizontal="left"/>
    </xf>
    <xf numFmtId="0" fontId="30" fillId="0" borderId="0" xfId="0" applyFont="1" applyAlignment="1">
      <alignment horizontal="justify" vertical="center"/>
    </xf>
    <xf numFmtId="0" fontId="31" fillId="0" borderId="0" xfId="0" applyFont="1" applyAlignment="1">
      <alignment horizontal="justify" vertical="center"/>
    </xf>
    <xf numFmtId="0" fontId="0" fillId="4" borderId="0" xfId="0" applyFill="1" applyAlignment="1" applyProtection="1">
      <alignment horizontal="left"/>
      <protection locked="0" hidden="1"/>
    </xf>
    <xf numFmtId="0" fontId="0" fillId="4" borderId="0" xfId="0" applyFill="1" applyAlignment="1" applyProtection="1">
      <alignment horizontal="left" vertical="top" wrapText="1"/>
      <protection locked="0" hidden="1"/>
    </xf>
    <xf numFmtId="0" fontId="20" fillId="0" borderId="0" xfId="0" applyFont="1" applyAlignment="1">
      <alignment horizontal="left" vertical="top"/>
    </xf>
    <xf numFmtId="0" fontId="0" fillId="0" borderId="0" xfId="0" applyFont="1" applyAlignment="1">
      <alignment horizontal="left" vertical="top" wrapText="1"/>
    </xf>
    <xf numFmtId="0" fontId="0" fillId="0" borderId="38" xfId="0" applyFont="1" applyBorder="1" applyAlignment="1">
      <alignment horizontal="left" vertical="top" wrapText="1"/>
    </xf>
    <xf numFmtId="0" fontId="0" fillId="0" borderId="1" xfId="0" applyFont="1" applyBorder="1" applyAlignment="1">
      <alignment horizontal="center" vertical="center" wrapText="1"/>
    </xf>
    <xf numFmtId="0" fontId="0" fillId="0" borderId="25" xfId="0" applyFont="1" applyBorder="1" applyAlignment="1">
      <alignment horizontal="center" vertical="center" wrapText="1"/>
    </xf>
    <xf numFmtId="14" fontId="0" fillId="8" borderId="20" xfId="0" applyNumberFormat="1" applyFont="1" applyFill="1" applyBorder="1" applyAlignment="1">
      <alignment horizontal="left" vertical="top"/>
    </xf>
    <xf numFmtId="0" fontId="0" fillId="8" borderId="22" xfId="0" applyFont="1" applyFill="1" applyBorder="1" applyAlignment="1">
      <alignment horizontal="left" vertical="top"/>
    </xf>
    <xf numFmtId="0" fontId="7" fillId="7" borderId="20" xfId="0" applyFont="1" applyFill="1" applyBorder="1" applyAlignment="1">
      <alignment horizontal="center"/>
    </xf>
    <xf numFmtId="0" fontId="7" fillId="7" borderId="21" xfId="0" applyFont="1" applyFill="1" applyBorder="1" applyAlignment="1">
      <alignment horizontal="center"/>
    </xf>
    <xf numFmtId="0" fontId="7" fillId="7" borderId="22" xfId="0" applyFont="1" applyFill="1" applyBorder="1" applyAlignment="1">
      <alignment horizontal="center"/>
    </xf>
    <xf numFmtId="2" fontId="0" fillId="0" borderId="17" xfId="0" applyNumberFormat="1" applyFont="1" applyBorder="1" applyAlignment="1">
      <alignment horizontal="left" wrapText="1"/>
    </xf>
    <xf numFmtId="0" fontId="20" fillId="0" borderId="32" xfId="0" applyFont="1" applyBorder="1" applyAlignment="1">
      <alignment horizontal="left" vertical="top" wrapText="1"/>
    </xf>
    <xf numFmtId="0" fontId="20" fillId="0" borderId="23" xfId="0" applyFont="1" applyBorder="1" applyAlignment="1">
      <alignment horizontal="left" vertical="top" wrapText="1"/>
    </xf>
    <xf numFmtId="0" fontId="20" fillId="0" borderId="33" xfId="0" applyFont="1" applyBorder="1" applyAlignment="1">
      <alignment horizontal="left" vertical="top" wrapText="1"/>
    </xf>
    <xf numFmtId="0" fontId="0" fillId="7" borderId="1" xfId="0" applyFont="1" applyFill="1" applyBorder="1" applyAlignment="1">
      <alignment horizontal="center" vertical="top" wrapText="1"/>
    </xf>
    <xf numFmtId="0" fontId="0" fillId="7" borderId="3" xfId="0" applyFont="1" applyFill="1" applyBorder="1" applyAlignment="1">
      <alignment horizontal="center" vertical="top" wrapText="1"/>
    </xf>
    <xf numFmtId="0" fontId="17" fillId="0" borderId="2" xfId="0" applyFont="1" applyBorder="1" applyAlignment="1">
      <alignment horizontal="center" wrapText="1"/>
    </xf>
    <xf numFmtId="0" fontId="17" fillId="0" borderId="25" xfId="0" applyFont="1" applyBorder="1" applyAlignment="1">
      <alignment horizontal="center" wrapText="1"/>
    </xf>
    <xf numFmtId="2" fontId="0" fillId="0" borderId="36" xfId="0" applyNumberFormat="1" applyFont="1" applyBorder="1" applyAlignment="1">
      <alignment horizontal="left" wrapText="1"/>
    </xf>
    <xf numFmtId="2" fontId="0" fillId="0" borderId="37" xfId="0" applyNumberFormat="1" applyFont="1" applyBorder="1" applyAlignment="1">
      <alignment horizontal="left" wrapText="1"/>
    </xf>
    <xf numFmtId="0" fontId="0" fillId="0" borderId="11" xfId="0" applyFont="1" applyBorder="1" applyAlignment="1">
      <alignment horizontal="left"/>
    </xf>
    <xf numFmtId="0" fontId="0" fillId="0" borderId="19" xfId="0" applyFont="1" applyBorder="1" applyAlignment="1">
      <alignment horizontal="left" vertical="top" wrapText="1"/>
    </xf>
    <xf numFmtId="0" fontId="0" fillId="0" borderId="0" xfId="0" applyFont="1" applyBorder="1" applyAlignment="1">
      <alignment horizontal="left" vertical="top" wrapText="1"/>
    </xf>
    <xf numFmtId="0" fontId="0" fillId="0" borderId="11" xfId="0" applyFont="1" applyBorder="1" applyAlignment="1">
      <alignment horizontal="left" vertical="top" wrapText="1"/>
    </xf>
    <xf numFmtId="0" fontId="0" fillId="0" borderId="0" xfId="0" applyFont="1" applyBorder="1" applyAlignment="1">
      <alignment horizontal="right"/>
    </xf>
  </cellXfs>
  <cellStyles count="1">
    <cellStyle name="Standaard" xfId="0" builtinId="0"/>
  </cellStyles>
  <dxfs count="10">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b/>
        <i val="0"/>
      </font>
      <fill>
        <patternFill>
          <bgColor rgb="FFFF0000"/>
        </patternFill>
      </fill>
    </dxf>
    <dxf>
      <fill>
        <patternFill>
          <bgColor rgb="FFFFC000"/>
        </patternFill>
      </fill>
    </dxf>
    <dxf>
      <font>
        <color auto="1"/>
      </font>
      <fill>
        <patternFill>
          <fgColor indexed="64"/>
          <bgColor theme="6" tint="0.59996337778862885"/>
        </patternFill>
      </fill>
    </dxf>
    <dxf>
      <border>
        <left style="thin">
          <color indexed="64"/>
        </left>
        <right style="thin">
          <color indexed="64"/>
        </right>
        <top style="thin">
          <color indexed="64"/>
        </top>
        <bottom style="thin">
          <color indexed="64"/>
        </bottom>
      </border>
    </dxf>
    <dxf>
      <fill>
        <patternFill>
          <bgColor rgb="FFFFC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190500</xdr:colOff>
          <xdr:row>4</xdr:row>
          <xdr:rowOff>57150</xdr:rowOff>
        </xdr:from>
        <xdr:to>
          <xdr:col>1</xdr:col>
          <xdr:colOff>1819275</xdr:colOff>
          <xdr:row>7</xdr:row>
          <xdr:rowOff>142875</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l-BE" sz="1100" b="0" i="0" u="none" strike="noStrike" baseline="0">
                  <a:solidFill>
                    <a:srgbClr val="000000"/>
                  </a:solidFill>
                  <a:latin typeface="Calibri"/>
                  <a:cs typeface="Calibri"/>
                </a:rPr>
                <a:t>HERBEGIN. Druk op deze knop om alles terug op de startwaarde te zetten.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2047875</xdr:colOff>
          <xdr:row>4</xdr:row>
          <xdr:rowOff>95250</xdr:rowOff>
        </xdr:from>
        <xdr:to>
          <xdr:col>1</xdr:col>
          <xdr:colOff>3886200</xdr:colOff>
          <xdr:row>7</xdr:row>
          <xdr:rowOff>142875</xdr:rowOff>
        </xdr:to>
        <xdr:sp macro="" textlink="">
          <xdr:nvSpPr>
            <xdr:cNvPr id="1027" name="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l-BE" sz="1100" b="0" i="0" u="none" strike="noStrike" baseline="0">
                  <a:solidFill>
                    <a:srgbClr val="000000"/>
                  </a:solidFill>
                  <a:latin typeface="Calibri"/>
                  <a:cs typeface="Calibri"/>
                </a:rPr>
                <a:t>Druk een voorstel af.</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495300</xdr:colOff>
          <xdr:row>0</xdr:row>
          <xdr:rowOff>66675</xdr:rowOff>
        </xdr:from>
        <xdr:to>
          <xdr:col>8</xdr:col>
          <xdr:colOff>685800</xdr:colOff>
          <xdr:row>1</xdr:row>
          <xdr:rowOff>161925</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l-BE" sz="1100" b="0" i="0" u="none" strike="noStrike" baseline="0">
                  <a:solidFill>
                    <a:srgbClr val="000000"/>
                  </a:solidFill>
                  <a:latin typeface="Calibri"/>
                  <a:cs typeface="Calibri"/>
                </a:rPr>
                <a:t>Druk dit voorstel af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180975</xdr:colOff>
          <xdr:row>2</xdr:row>
          <xdr:rowOff>9525</xdr:rowOff>
        </xdr:from>
        <xdr:to>
          <xdr:col>19</xdr:col>
          <xdr:colOff>333375</xdr:colOff>
          <xdr:row>3</xdr:row>
          <xdr:rowOff>95250</xdr:rowOff>
        </xdr:to>
        <xdr:sp macro="" textlink="">
          <xdr:nvSpPr>
            <xdr:cNvPr id="2050" name="Button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l-BE" sz="1100" b="0" i="0" u="none" strike="noStrike" baseline="0">
                  <a:solidFill>
                    <a:srgbClr val="000000"/>
                  </a:solidFill>
                  <a:latin typeface="Calibri"/>
                  <a:cs typeface="Calibri"/>
                </a:rPr>
                <a:t>open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209550</xdr:colOff>
          <xdr:row>4</xdr:row>
          <xdr:rowOff>28575</xdr:rowOff>
        </xdr:from>
        <xdr:to>
          <xdr:col>19</xdr:col>
          <xdr:colOff>333375</xdr:colOff>
          <xdr:row>5</xdr:row>
          <xdr:rowOff>85725</xdr:rowOff>
        </xdr:to>
        <xdr:sp macro="" textlink="">
          <xdr:nvSpPr>
            <xdr:cNvPr id="2051" name="Button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l-BE" sz="1100" b="0" i="0" u="none" strike="noStrike" baseline="0">
                  <a:solidFill>
                    <a:srgbClr val="000000"/>
                  </a:solidFill>
                  <a:latin typeface="Calibri"/>
                  <a:cs typeface="Calibri"/>
                </a:rPr>
                <a:t>close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228600</xdr:colOff>
          <xdr:row>6</xdr:row>
          <xdr:rowOff>38100</xdr:rowOff>
        </xdr:from>
        <xdr:to>
          <xdr:col>19</xdr:col>
          <xdr:colOff>352425</xdr:colOff>
          <xdr:row>7</xdr:row>
          <xdr:rowOff>76200</xdr:rowOff>
        </xdr:to>
        <xdr:sp macro="" textlink="">
          <xdr:nvSpPr>
            <xdr:cNvPr id="2052" name="Button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l-BE" sz="1100" b="0" i="0" u="none" strike="noStrike" baseline="0">
                  <a:solidFill>
                    <a:srgbClr val="000000"/>
                  </a:solidFill>
                  <a:latin typeface="Calibri"/>
                  <a:cs typeface="Calibri"/>
                </a:rPr>
                <a:t>BAH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247650</xdr:colOff>
          <xdr:row>7</xdr:row>
          <xdr:rowOff>161925</xdr:rowOff>
        </xdr:from>
        <xdr:to>
          <xdr:col>19</xdr:col>
          <xdr:colOff>209550</xdr:colOff>
          <xdr:row>9</xdr:row>
          <xdr:rowOff>0</xdr:rowOff>
        </xdr:to>
        <xdr:sp macro="" textlink="">
          <xdr:nvSpPr>
            <xdr:cNvPr id="2053" name="Button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l-BE" sz="1100" b="0" i="0" u="none" strike="noStrike" baseline="0">
                  <a:solidFill>
                    <a:srgbClr val="000000"/>
                  </a:solidFill>
                  <a:latin typeface="Calibri"/>
                  <a:cs typeface="Calibri"/>
                </a:rPr>
                <a:t>Prt p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266700</xdr:colOff>
          <xdr:row>9</xdr:row>
          <xdr:rowOff>152400</xdr:rowOff>
        </xdr:from>
        <xdr:to>
          <xdr:col>19</xdr:col>
          <xdr:colOff>219075</xdr:colOff>
          <xdr:row>10</xdr:row>
          <xdr:rowOff>161925</xdr:rowOff>
        </xdr:to>
        <xdr:sp macro="" textlink="">
          <xdr:nvSpPr>
            <xdr:cNvPr id="2054" name="Button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l-BE" sz="1100" b="0" i="0" u="none" strike="noStrike" baseline="0">
                  <a:solidFill>
                    <a:srgbClr val="000000"/>
                  </a:solidFill>
                  <a:latin typeface="Calibri"/>
                  <a:cs typeface="Calibri"/>
                </a:rPr>
                <a:t>Prt p 2</a:t>
              </a:r>
            </a:p>
          </xdr:txBody>
        </xdr:sp>
        <xdr:clientData fPrintsWithSheet="0"/>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AM192"/>
  <sheetViews>
    <sheetView showGridLines="0" showRowColHeaders="0" showZeros="0" tabSelected="1" zoomScaleNormal="100" workbookViewId="0">
      <pane ySplit="10" topLeftCell="A11" activePane="bottomLeft" state="frozen"/>
      <selection pane="bottomLeft" activeCell="B13" sqref="B13"/>
    </sheetView>
  </sheetViews>
  <sheetFormatPr defaultRowHeight="15" x14ac:dyDescent="0.25"/>
  <cols>
    <col min="1" max="1" width="3" customWidth="1"/>
    <col min="2" max="2" width="97.28515625" customWidth="1"/>
    <col min="3" max="3" width="4.28515625" customWidth="1"/>
    <col min="4" max="4" width="12.5703125" style="16" bestFit="1" customWidth="1"/>
    <col min="5" max="5" width="3.28515625" customWidth="1"/>
    <col min="6" max="6" width="22.5703125" customWidth="1"/>
    <col min="7" max="7" width="8.5703125" customWidth="1"/>
    <col min="8" max="8" width="21.7109375" bestFit="1" customWidth="1"/>
    <col min="9" max="9" width="8.28515625" customWidth="1"/>
    <col min="10" max="10" width="23.42578125" bestFit="1" customWidth="1"/>
    <col min="11" max="11" width="11" customWidth="1"/>
    <col min="27" max="27" width="10.7109375" style="15" bestFit="1" customWidth="1"/>
    <col min="28" max="39" width="9.140625" style="15"/>
  </cols>
  <sheetData>
    <row r="1" spans="2:38" ht="15.75" x14ac:dyDescent="0.25">
      <c r="B1" s="3" t="s">
        <v>73</v>
      </c>
    </row>
    <row r="2" spans="2:38" ht="8.25" customHeight="1" x14ac:dyDescent="0.25"/>
    <row r="3" spans="2:38" ht="15.75" x14ac:dyDescent="0.25">
      <c r="B3" s="3" t="str">
        <f>"Rekenmodule koud buffet. " &amp;matrixen!B1</f>
        <v>Rekenmodule koud buffet. Prijzen geldig tot 31/03/2023</v>
      </c>
    </row>
    <row r="4" spans="2:38" ht="5.25" customHeight="1" thickBot="1" x14ac:dyDescent="0.3"/>
    <row r="5" spans="2:38" x14ac:dyDescent="0.25">
      <c r="F5" s="4" t="s">
        <v>74</v>
      </c>
      <c r="G5" s="5"/>
      <c r="H5" s="4" t="s">
        <v>74</v>
      </c>
      <c r="I5" s="5"/>
      <c r="J5" s="4" t="s">
        <v>74</v>
      </c>
    </row>
    <row r="6" spans="2:38" ht="15.75" thickBot="1" x14ac:dyDescent="0.3">
      <c r="D6" s="54" t="str">
        <f ca="1">IF(TODAY()&gt;AA11,"Deze module is niet meer geldig.","")</f>
        <v/>
      </c>
      <c r="F6" s="6" t="s">
        <v>75</v>
      </c>
      <c r="G6" s="5"/>
      <c r="H6" s="6" t="s">
        <v>76</v>
      </c>
      <c r="I6" s="5"/>
      <c r="J6" s="6" t="s">
        <v>77</v>
      </c>
    </row>
    <row r="7" spans="2:38" ht="18.75" customHeight="1" thickBot="1" x14ac:dyDescent="0.4">
      <c r="B7" s="7" t="s">
        <v>78</v>
      </c>
      <c r="C7" s="8"/>
      <c r="D7" s="17">
        <f>SUM(D10:D1001)</f>
        <v>40.799999999999997</v>
      </c>
      <c r="E7" s="9"/>
      <c r="F7" s="10" t="s">
        <v>79</v>
      </c>
      <c r="G7" s="11"/>
      <c r="H7" s="12">
        <f>ROUND(D7/3,2)</f>
        <v>13.6</v>
      </c>
      <c r="I7" s="11"/>
      <c r="J7" s="12">
        <f>ROUND(D7/2,2)</f>
        <v>20.399999999999999</v>
      </c>
    </row>
    <row r="8" spans="2:38" ht="18.75" customHeight="1" x14ac:dyDescent="0.25">
      <c r="B8" s="51"/>
      <c r="C8" s="52"/>
      <c r="D8" s="53"/>
      <c r="E8" s="9"/>
      <c r="F8" s="19" t="s">
        <v>142</v>
      </c>
      <c r="G8" s="11"/>
      <c r="H8" s="18"/>
      <c r="I8" s="11"/>
      <c r="J8" s="18"/>
    </row>
    <row r="9" spans="2:38" ht="6.75" customHeight="1" x14ac:dyDescent="0.25"/>
    <row r="10" spans="2:38" ht="21" customHeight="1" x14ac:dyDescent="0.4">
      <c r="B10" s="13" t="s">
        <v>141</v>
      </c>
      <c r="I10" s="26" t="s">
        <v>167</v>
      </c>
      <c r="J10" s="27"/>
      <c r="K10" s="27"/>
    </row>
    <row r="11" spans="2:38" x14ac:dyDescent="0.25">
      <c r="B11" t="s">
        <v>122</v>
      </c>
      <c r="D11" s="16" t="s">
        <v>80</v>
      </c>
      <c r="F11" s="109" t="s">
        <v>81</v>
      </c>
      <c r="G11" s="110" t="s">
        <v>369</v>
      </c>
      <c r="H11" s="111"/>
      <c r="I11" s="52">
        <f>COUNTA(G13:K23)</f>
        <v>0</v>
      </c>
      <c r="J11" s="52" t="s">
        <v>370</v>
      </c>
      <c r="AA11" s="114" t="str">
        <f>matrixen!B1</f>
        <v>Prijzen geldig tot 31/03/2023</v>
      </c>
    </row>
    <row r="12" spans="2:38" ht="8.25" customHeight="1" x14ac:dyDescent="0.25"/>
    <row r="13" spans="2:38" x14ac:dyDescent="0.25">
      <c r="B13" s="113" t="s">
        <v>82</v>
      </c>
      <c r="D13" s="16">
        <f>VLOOKUP(B13,matrixen!B11:I19,8,FALSE)</f>
        <v>0</v>
      </c>
      <c r="F13">
        <f>HLOOKUP($B$13,matrixen!$T$14:$AB$28,2,FALSE)</f>
        <v>0</v>
      </c>
      <c r="G13" s="137"/>
      <c r="H13" s="137"/>
      <c r="I13" s="137"/>
      <c r="J13" s="137"/>
      <c r="K13" s="137"/>
      <c r="AL13" s="15" t="str">
        <f>matrixen!AM16</f>
        <v>BORD</v>
      </c>
    </row>
    <row r="14" spans="2:38" x14ac:dyDescent="0.25">
      <c r="B14" s="15" t="s">
        <v>82</v>
      </c>
      <c r="F14">
        <f>HLOOKUP($B$13,matrixen!$T$14:$AB$28,3,FALSE)</f>
        <v>0</v>
      </c>
      <c r="G14" s="137"/>
      <c r="H14" s="137"/>
      <c r="I14" s="137"/>
      <c r="J14" s="137"/>
      <c r="K14" s="137"/>
      <c r="AA14" s="15" t="str">
        <f>matrixen!B11</f>
        <v>Maak in dit vak uw keuze voor het aperitief</v>
      </c>
      <c r="AL14" s="15" t="str">
        <f>matrixen!AM17</f>
        <v>Bord met rauwe groenten en cocktailsaus (wortel, bloemkool, radijs)</v>
      </c>
    </row>
    <row r="15" spans="2:38" x14ac:dyDescent="0.25">
      <c r="B15" s="22" t="str">
        <f>"U selecteerde tot nu " &amp; COUNTA(G13:K23)+IF(G24&lt;&gt;"",1,0)&amp; " hapjes."</f>
        <v>U selecteerde tot nu 0 hapjes.</v>
      </c>
      <c r="D15" s="16">
        <f>IF(IF(B13=matrixen!N14,(I11-4)*matrixen!I46,I11*matrixen!I46)&lt;0,0,IF(B13=matrixen!N14,(I11-4)*matrixen!I46,I11*matrixen!I46))</f>
        <v>0</v>
      </c>
      <c r="F15">
        <f>HLOOKUP($B$13,matrixen!$T$14:$AB$28,4,FALSE)</f>
        <v>0</v>
      </c>
      <c r="G15" s="137"/>
      <c r="H15" s="137"/>
      <c r="I15" s="137"/>
      <c r="J15" s="137"/>
      <c r="K15" s="137"/>
      <c r="AA15" s="15" t="str">
        <f>matrixen!B12</f>
        <v>1 aperitief per persoon</v>
      </c>
      <c r="AL15" s="15" t="str">
        <f>matrixen!AM18</f>
        <v>Bord met olijven, kaasjes en salamietjes</v>
      </c>
    </row>
    <row r="16" spans="2:38" x14ac:dyDescent="0.25">
      <c r="F16">
        <f>HLOOKUP($B$13,matrixen!$T$14:$AB$28,5,FALSE)</f>
        <v>0</v>
      </c>
      <c r="G16" s="137"/>
      <c r="H16" s="137"/>
      <c r="I16" s="137"/>
      <c r="J16" s="137"/>
      <c r="K16" s="137"/>
      <c r="AA16" s="15" t="str">
        <f>matrixen!B13</f>
        <v>2 aperitieven per persoon</v>
      </c>
      <c r="AL16" s="15" t="str">
        <f>matrixen!AM19</f>
        <v>Bord met 3 tapenades (tonijn / pesto spread rosso /zoete peper roomkaas)</v>
      </c>
    </row>
    <row r="17" spans="2:38" x14ac:dyDescent="0.25">
      <c r="F17">
        <f>HLOOKUP($B$13,matrixen!$T$14:$AB$28,6,FALSE)</f>
        <v>0</v>
      </c>
      <c r="G17" s="137"/>
      <c r="H17" s="137"/>
      <c r="I17" s="137"/>
      <c r="J17" s="137"/>
      <c r="K17" s="137"/>
      <c r="AA17" s="15" t="str">
        <f>matrixen!B14</f>
        <v>Receptie E</v>
      </c>
      <c r="AL17" s="15" t="str">
        <f>matrixen!AM20</f>
        <v>KOUD</v>
      </c>
    </row>
    <row r="18" spans="2:38" x14ac:dyDescent="0.25">
      <c r="F18">
        <f>HLOOKUP($B$13,matrixen!$T$14:$AB$28,7,FALSE)</f>
        <v>0</v>
      </c>
      <c r="G18" s="137"/>
      <c r="H18" s="137"/>
      <c r="I18" s="137"/>
      <c r="J18" s="137"/>
      <c r="K18" s="137"/>
      <c r="AA18" s="15" t="str">
        <f>matrixen!B15</f>
        <v>Receptie A</v>
      </c>
      <c r="AL18" s="15" t="str">
        <f>matrixen!AM21</f>
        <v>crunchy sushi</v>
      </c>
    </row>
    <row r="19" spans="2:38" x14ac:dyDescent="0.25">
      <c r="B19" t="s">
        <v>244</v>
      </c>
      <c r="F19">
        <f>HLOOKUP($B$13,matrixen!$T$14:$AB$28,8,FALSE)</f>
        <v>0</v>
      </c>
      <c r="G19" s="137"/>
      <c r="H19" s="137"/>
      <c r="I19" s="137"/>
      <c r="J19" s="137"/>
      <c r="K19" s="137"/>
      <c r="AA19" s="15">
        <f>matrixen!B16</f>
        <v>0</v>
      </c>
      <c r="AL19" s="15" t="str">
        <f>matrixen!AM22</f>
        <v>luzerne met gerookte zalm, eitjes van vliegende vis in wasabi</v>
      </c>
    </row>
    <row r="20" spans="2:38" x14ac:dyDescent="0.25">
      <c r="B20" s="21" t="s">
        <v>379</v>
      </c>
      <c r="F20">
        <f>HLOOKUP($B$13,matrixen!$T$14:$AB$28,9,FALSE)</f>
        <v>0</v>
      </c>
      <c r="G20" s="137"/>
      <c r="H20" s="137"/>
      <c r="I20" s="137"/>
      <c r="J20" s="137"/>
      <c r="K20" s="137"/>
      <c r="AA20" s="15">
        <f>matrixen!B17</f>
        <v>0</v>
      </c>
      <c r="AL20" s="15" t="str">
        <f>matrixen!AM23</f>
        <v>preischeuten met tijgergarnalen en mini tomaat</v>
      </c>
    </row>
    <row r="21" spans="2:38" x14ac:dyDescent="0.25">
      <c r="B21" s="15" t="s">
        <v>379</v>
      </c>
      <c r="F21">
        <f>HLOOKUP($B$13,matrixen!$T$14:$AB$28,10,FALSE)</f>
        <v>0</v>
      </c>
      <c r="G21" s="137"/>
      <c r="H21" s="137"/>
      <c r="I21" s="137"/>
      <c r="J21" s="137"/>
      <c r="K21" s="137"/>
      <c r="AA21" s="15">
        <f>matrixen!B18</f>
        <v>0</v>
      </c>
      <c r="AL21" s="15" t="str">
        <f>matrixen!AM24</f>
        <v>aperoglaasje parmaham met meloenbolletjes</v>
      </c>
    </row>
    <row r="22" spans="2:38" x14ac:dyDescent="0.25">
      <c r="B22" s="15" t="s">
        <v>375</v>
      </c>
      <c r="F22">
        <f>HLOOKUP($B$13,matrixen!$T$14:$AB$28,11,FALSE)</f>
        <v>0</v>
      </c>
      <c r="G22" s="137"/>
      <c r="H22" s="137"/>
      <c r="I22" s="137"/>
      <c r="J22" s="137"/>
      <c r="K22" s="137"/>
      <c r="AA22" s="15">
        <f>matrixen!B19</f>
        <v>0</v>
      </c>
      <c r="AL22" s="15" t="str">
        <f>matrixen!AM25</f>
        <v>ganache van foie gras met frambozenconfituur en amandelbrood</v>
      </c>
    </row>
    <row r="23" spans="2:38" x14ac:dyDescent="0.25">
      <c r="F23">
        <f>HLOOKUP($B$13,matrixen!$T$14:$AB$28,12,FALSE)</f>
        <v>0</v>
      </c>
      <c r="G23" s="137"/>
      <c r="H23" s="137"/>
      <c r="I23" s="137"/>
      <c r="J23" s="137"/>
      <c r="K23" s="137"/>
      <c r="AA23" s="15">
        <f>matrixen!B20</f>
        <v>0</v>
      </c>
      <c r="AL23" s="15" t="str">
        <f>matrixen!AM26</f>
        <v>aperoglaasje parmaham met espuma van mango</v>
      </c>
    </row>
    <row r="24" spans="2:38" x14ac:dyDescent="0.25">
      <c r="F24">
        <f>HLOOKUP($B$13,matrixen!$T$14:$AB$28,13,FALSE)</f>
        <v>0</v>
      </c>
      <c r="G24" s="112" t="str">
        <f>IF(F20="tapenades", matrixen!AM28 &amp; " nootjes en chips","")</f>
        <v/>
      </c>
      <c r="H24" s="112"/>
      <c r="I24" s="112"/>
      <c r="J24" s="112"/>
      <c r="K24" s="112"/>
      <c r="AA24" s="15" t="e">
        <f>matrixen!#REF!</f>
        <v>#REF!</v>
      </c>
      <c r="AL24" s="15" t="str">
        <f>matrixen!AM27</f>
        <v>verse oester</v>
      </c>
    </row>
    <row r="25" spans="2:38" x14ac:dyDescent="0.25">
      <c r="F25">
        <f>HLOOKUP($B$13,matrixen!$T$14:$AB$28,14,FALSE)</f>
        <v>0</v>
      </c>
      <c r="AA25" s="15">
        <f>matrixen!B22</f>
        <v>0</v>
      </c>
      <c r="AL25" s="15" t="str">
        <f>matrixen!AM28</f>
        <v>Taboulé met gerookte forel</v>
      </c>
    </row>
    <row r="26" spans="2:38" x14ac:dyDescent="0.25">
      <c r="F26">
        <f>HLOOKUP($B$13,matrixen!$T$14:$AB$28,15,FALSE)</f>
        <v>0</v>
      </c>
      <c r="AA26" s="15" t="str">
        <f>matrixen!B23</f>
        <v>Schuimwijn van het huis (reeds inbegrepen)</v>
      </c>
      <c r="AL26" s="15" t="str">
        <f>matrixen!AM29</f>
        <v>Haringhapje met curry</v>
      </c>
    </row>
    <row r="27" spans="2:38" ht="5.25" customHeight="1" x14ac:dyDescent="0.25">
      <c r="AA27" s="15" t="str">
        <f>matrixen!B24</f>
        <v>Cava</v>
      </c>
      <c r="AL27" s="15" t="str">
        <f>matrixen!AM30</f>
        <v>Mini bagel met zalm en kruidenkaas</v>
      </c>
    </row>
    <row r="28" spans="2:38" ht="15.75" x14ac:dyDescent="0.25">
      <c r="B28" s="3" t="s">
        <v>121</v>
      </c>
      <c r="W28" s="1"/>
      <c r="X28" s="1"/>
      <c r="Y28" s="1"/>
      <c r="Z28" s="1"/>
      <c r="AA28" s="15" t="str">
        <f>matrixen!B25</f>
        <v>Champagne</v>
      </c>
      <c r="AL28" s="15" t="str">
        <f>matrixen!AM31</f>
        <v>SOEP</v>
      </c>
    </row>
    <row r="29" spans="2:38" x14ac:dyDescent="0.25">
      <c r="B29" t="s">
        <v>123</v>
      </c>
      <c r="W29" s="1"/>
      <c r="X29" s="1"/>
      <c r="Y29" s="1"/>
      <c r="Z29" s="1"/>
      <c r="AA29" s="15">
        <f>matrixen!B26</f>
        <v>0</v>
      </c>
      <c r="AL29" s="15" t="str">
        <f>matrixen!AM32</f>
        <v>Kreeftensoep</v>
      </c>
    </row>
    <row r="30" spans="2:38" x14ac:dyDescent="0.25">
      <c r="B30" t="s">
        <v>117</v>
      </c>
      <c r="W30" s="1"/>
      <c r="X30" s="1"/>
      <c r="Y30" s="1"/>
      <c r="Z30" s="1"/>
      <c r="AL30" s="15" t="str">
        <f>matrixen!AM33</f>
        <v>Aspergeroomsoep met koornbloemblaadjes</v>
      </c>
    </row>
    <row r="31" spans="2:38" x14ac:dyDescent="0.25">
      <c r="B31" t="s">
        <v>118</v>
      </c>
      <c r="W31" s="1"/>
      <c r="X31" s="1"/>
      <c r="Y31" s="1"/>
      <c r="Z31" s="1"/>
      <c r="AA31" s="15" t="str">
        <f>matrixen!B44</f>
        <v>Maak hier uw keuze voor extra hapjes bij het aperitief</v>
      </c>
      <c r="AL31" s="15" t="str">
        <f>matrixen!AM34</f>
        <v>Pompoensoep (sept. okt. nov.)</v>
      </c>
    </row>
    <row r="32" spans="2:38" x14ac:dyDescent="0.25">
      <c r="B32" t="s">
        <v>120</v>
      </c>
      <c r="W32" s="1"/>
      <c r="X32" s="1"/>
      <c r="Y32" s="1"/>
      <c r="Z32" s="1"/>
      <c r="AA32" s="15" t="str">
        <f>matrixen!B45</f>
        <v>Nootjes, chips en zoutkoekjes zoveel u wenst,  per pers.</v>
      </c>
      <c r="AL32" s="15" t="str">
        <f>matrixen!AM35</f>
        <v>Kervelroomsoep met gerookte eend</v>
      </c>
    </row>
    <row r="33" spans="1:38" x14ac:dyDescent="0.25">
      <c r="B33" t="s">
        <v>119</v>
      </c>
      <c r="N33" s="1"/>
      <c r="O33" s="1"/>
      <c r="P33" s="1"/>
      <c r="Q33" s="1"/>
      <c r="R33" s="1"/>
      <c r="S33" s="1"/>
      <c r="T33" s="1"/>
      <c r="U33" s="1"/>
      <c r="V33" s="1"/>
      <c r="W33" s="1"/>
      <c r="X33" s="1"/>
      <c r="Y33" s="1"/>
      <c r="Z33" s="1"/>
      <c r="AA33" s="15" t="str">
        <f>matrixen!B46</f>
        <v>Rauwe groenten (wortel, bloemkool, cocktailsaus) prijs per persoon:</v>
      </c>
      <c r="AL33" s="15" t="str">
        <f>matrixen!AM36</f>
        <v>Preiroomsoep met broccoligarnituur en gebakken spekjes</v>
      </c>
    </row>
    <row r="34" spans="1:38" x14ac:dyDescent="0.25">
      <c r="AA34" s="15" t="str">
        <f>matrixen!B47</f>
        <v>Warme toostjes per stuk</v>
      </c>
      <c r="AL34" s="15" t="str">
        <f>matrixen!AM37</f>
        <v>Soepje van boschampignons met gerookte paling</v>
      </c>
    </row>
    <row r="35" spans="1:38" x14ac:dyDescent="0.25">
      <c r="B35" s="2" t="s">
        <v>124</v>
      </c>
      <c r="AA35" s="15" t="str">
        <f>matrixen!B48</f>
        <v>Koude toostjes per stuk</v>
      </c>
      <c r="AL35" s="15" t="str">
        <f>matrixen!AM38</f>
        <v>WARM</v>
      </c>
    </row>
    <row r="36" spans="1:38" x14ac:dyDescent="0.25">
      <c r="B36" s="21" t="s">
        <v>125</v>
      </c>
      <c r="D36" s="16" t="str">
        <f>VLOOKUP(B36,matrixen!B85:G88,6,FALSE)</f>
        <v>inbegrepen</v>
      </c>
      <c r="AA36" s="15" t="str">
        <f>matrixen!B49</f>
        <v>aperitiefglaasjes per stuk</v>
      </c>
      <c r="AL36" s="15" t="str">
        <f>matrixen!AM39</f>
        <v>mini hot-dog</v>
      </c>
    </row>
    <row r="37" spans="1:38" x14ac:dyDescent="0.25">
      <c r="B37" s="15" t="s">
        <v>125</v>
      </c>
      <c r="AA37" s="15" t="str">
        <f>matrixen!B50</f>
        <v>Oesters per stuk warm of koud</v>
      </c>
      <c r="AL37" s="15" t="str">
        <f>matrixen!AM40</f>
        <v>Breydelspek met mosterdroomsaus</v>
      </c>
    </row>
    <row r="38" spans="1:38" x14ac:dyDescent="0.25">
      <c r="B38" s="2" t="s">
        <v>134</v>
      </c>
      <c r="D38" s="16">
        <f>matrixen!B118</f>
        <v>37</v>
      </c>
      <c r="F38" s="2" t="str">
        <f>"Selecteert u één of meer van onderstaande specialiteiten, is er een supplement van "&amp; matrixen!E118 &amp;" euro pp t.o.v. de basisprijs"</f>
        <v>Selecteert u één of meer van onderstaande specialiteiten, is er een supplement van 5 euro pp t.o.v. de basisprijs</v>
      </c>
      <c r="AA38" s="15" t="str">
        <f>matrixen!B51</f>
        <v>wachtbordje met vispasteitje</v>
      </c>
      <c r="AL38" s="15" t="str">
        <f>matrixen!AM41</f>
        <v>aperoglaasje scampi</v>
      </c>
    </row>
    <row r="39" spans="1:38" x14ac:dyDescent="0.25">
      <c r="A39">
        <v>1</v>
      </c>
      <c r="B39" s="21" t="s">
        <v>133</v>
      </c>
      <c r="E39">
        <v>1</v>
      </c>
      <c r="F39" s="21" t="s">
        <v>135</v>
      </c>
      <c r="G39" s="15">
        <f>IF(F39&lt;&gt; "supplement 1",1,0)</f>
        <v>0</v>
      </c>
      <c r="H39" s="15">
        <f>IF(G39+G40+G41+G42+G43+G44+G45+G46+G47&gt;0,matrixen!E118,0)</f>
        <v>0</v>
      </c>
      <c r="J39" s="2" t="s">
        <v>145</v>
      </c>
      <c r="AA39" s="15" t="str">
        <f>matrixen!B52</f>
        <v>wachtbordje van reuzentoost met gerookte zalm</v>
      </c>
      <c r="AL39" s="15" t="str">
        <f>matrixen!AM42</f>
        <v>Warme dagvis met curry</v>
      </c>
    </row>
    <row r="40" spans="1:38" x14ac:dyDescent="0.25">
      <c r="A40">
        <v>2</v>
      </c>
      <c r="B40" s="21" t="s">
        <v>133</v>
      </c>
      <c r="E40">
        <v>2</v>
      </c>
      <c r="F40" s="21" t="s">
        <v>135</v>
      </c>
      <c r="G40" s="15">
        <f t="shared" ref="G40:G47" si="0">IF(F40&lt;&gt; "supplement 1",1,0)</f>
        <v>0</v>
      </c>
      <c r="H40" s="15">
        <f>IF(D50&gt;0,matrixen!E118,0)</f>
        <v>0</v>
      </c>
      <c r="J40" s="2" t="s">
        <v>146</v>
      </c>
      <c r="AA40" s="15" t="str">
        <f>matrixen!B53</f>
        <v>wachtbordje van lauw slaatje met gerookte zalm en scampi's</v>
      </c>
      <c r="AL40" s="15" t="str">
        <f>matrixen!AM43</f>
        <v>een gevuld toastcupje</v>
      </c>
    </row>
    <row r="41" spans="1:38" x14ac:dyDescent="0.25">
      <c r="A41">
        <v>3</v>
      </c>
      <c r="B41" s="21" t="s">
        <v>133</v>
      </c>
      <c r="E41">
        <v>3</v>
      </c>
      <c r="F41" s="21" t="s">
        <v>135</v>
      </c>
      <c r="G41" s="15">
        <f t="shared" si="0"/>
        <v>0</v>
      </c>
      <c r="H41" s="15">
        <f>H39-H40</f>
        <v>0</v>
      </c>
      <c r="J41" s="2"/>
      <c r="AA41" s="15">
        <f>matrixen!B54</f>
        <v>0</v>
      </c>
      <c r="AL41" s="15" t="str">
        <f>matrixen!AM44</f>
        <v xml:space="preserve">oester met champagnesaus </v>
      </c>
    </row>
    <row r="42" spans="1:38" x14ac:dyDescent="0.25">
      <c r="A42">
        <v>4</v>
      </c>
      <c r="B42" s="21" t="s">
        <v>133</v>
      </c>
      <c r="D42" s="16">
        <f>IF(H41&gt;0,H41,0)</f>
        <v>0</v>
      </c>
      <c r="E42">
        <v>4</v>
      </c>
      <c r="F42" s="21" t="s">
        <v>135</v>
      </c>
      <c r="G42" s="15">
        <f t="shared" si="0"/>
        <v>0</v>
      </c>
      <c r="H42" s="15"/>
      <c r="AA42" s="15">
        <f>matrixen!B55</f>
        <v>0</v>
      </c>
      <c r="AL42" s="15" t="str">
        <f>matrixen!AM45</f>
        <v>garnaal in filo</v>
      </c>
    </row>
    <row r="43" spans="1:38" x14ac:dyDescent="0.25">
      <c r="A43">
        <v>5</v>
      </c>
      <c r="B43" s="21" t="s">
        <v>133</v>
      </c>
      <c r="E43">
        <v>5</v>
      </c>
      <c r="F43" s="21" t="s">
        <v>135</v>
      </c>
      <c r="G43" s="15">
        <f t="shared" si="0"/>
        <v>0</v>
      </c>
      <c r="H43" s="15"/>
      <c r="AA43" s="15">
        <f>matrixen!B56</f>
        <v>0</v>
      </c>
      <c r="AL43" s="15" t="str">
        <f>matrixen!AM46</f>
        <v>mini croque</v>
      </c>
    </row>
    <row r="44" spans="1:38" x14ac:dyDescent="0.25">
      <c r="A44">
        <v>6</v>
      </c>
      <c r="B44" s="21" t="s">
        <v>133</v>
      </c>
      <c r="E44">
        <v>6</v>
      </c>
      <c r="F44" s="21" t="s">
        <v>135</v>
      </c>
      <c r="G44" s="15">
        <f t="shared" si="0"/>
        <v>0</v>
      </c>
      <c r="H44" s="15"/>
      <c r="AA44" s="15" t="str">
        <f>matrixen!B85</f>
        <v>Koude aardappelen</v>
      </c>
      <c r="AL44" s="15" t="str">
        <f>matrixen!AM47</f>
        <v>mini loempia</v>
      </c>
    </row>
    <row r="45" spans="1:38" x14ac:dyDescent="0.25">
      <c r="A45">
        <v>7</v>
      </c>
      <c r="B45" s="21" t="s">
        <v>133</v>
      </c>
      <c r="E45">
        <v>7</v>
      </c>
      <c r="F45" s="21" t="s">
        <v>135</v>
      </c>
      <c r="G45" s="15">
        <f t="shared" si="0"/>
        <v>0</v>
      </c>
      <c r="H45" s="15"/>
      <c r="AA45" s="15" t="str">
        <f>matrixen!B86</f>
        <v>Aardappel in de pel</v>
      </c>
    </row>
    <row r="46" spans="1:38" x14ac:dyDescent="0.25">
      <c r="A46">
        <v>8</v>
      </c>
      <c r="B46" s="21" t="s">
        <v>133</v>
      </c>
      <c r="E46">
        <v>8</v>
      </c>
      <c r="F46" s="21" t="s">
        <v>135</v>
      </c>
      <c r="G46" s="15">
        <f t="shared" si="0"/>
        <v>0</v>
      </c>
      <c r="H46" s="15"/>
      <c r="AA46" s="15" t="str">
        <f>matrixen!B87</f>
        <v>1/2 koude aardappelen en 1/2 aardappel in de pel</v>
      </c>
    </row>
    <row r="47" spans="1:38" x14ac:dyDescent="0.25">
      <c r="A47">
        <v>9</v>
      </c>
      <c r="B47" s="21" t="s">
        <v>133</v>
      </c>
      <c r="E47">
        <v>9</v>
      </c>
      <c r="F47" s="21" t="s">
        <v>135</v>
      </c>
      <c r="G47" s="15">
        <f t="shared" si="0"/>
        <v>0</v>
      </c>
      <c r="H47" s="15"/>
      <c r="AA47" s="15" t="str">
        <f>matrixen!B88</f>
        <v>frietjes (supplement)</v>
      </c>
    </row>
    <row r="48" spans="1:38" x14ac:dyDescent="0.25">
      <c r="A48">
        <v>10</v>
      </c>
      <c r="B48" s="21" t="s">
        <v>133</v>
      </c>
      <c r="F48" s="2" t="str">
        <f>"Selecteert u één of meer van onderstaande specialiteiten, is er een supplement van " &amp; matrixen!H118 &amp; " euro pp t.o.v. de basisprijs"</f>
        <v>Selecteert u één of meer van onderstaande specialiteiten, is er een supplement van 8,5 euro pp t.o.v. de basisprijs</v>
      </c>
    </row>
    <row r="49" spans="1:27" x14ac:dyDescent="0.25">
      <c r="A49">
        <v>11</v>
      </c>
      <c r="B49" s="21" t="s">
        <v>133</v>
      </c>
      <c r="F49" s="2" t="s">
        <v>147</v>
      </c>
      <c r="AA49" s="15" t="str">
        <f>matrixen!B97</f>
        <v>Kies uit deze vlees- of visspecialiteiten</v>
      </c>
    </row>
    <row r="50" spans="1:27" x14ac:dyDescent="0.25">
      <c r="A50" s="14">
        <v>12</v>
      </c>
      <c r="B50" s="21" t="s">
        <v>133</v>
      </c>
      <c r="D50" s="16">
        <f>IF(H50&gt;0,matrixen!H118,0)</f>
        <v>0</v>
      </c>
      <c r="E50">
        <v>1</v>
      </c>
      <c r="F50" s="21" t="s">
        <v>136</v>
      </c>
      <c r="G50" s="15">
        <f>IF(F50&lt;&gt; "supplement 2",1,0)</f>
        <v>0</v>
      </c>
      <c r="H50" s="15">
        <f>IF(G50+G51+G52&gt;0,11,0)</f>
        <v>0</v>
      </c>
      <c r="AA50" s="15" t="str">
        <f>matrixen!B98</f>
        <v>tonijnsla</v>
      </c>
    </row>
    <row r="51" spans="1:27" x14ac:dyDescent="0.25">
      <c r="B51" s="15" t="s">
        <v>133</v>
      </c>
      <c r="E51">
        <v>2</v>
      </c>
      <c r="F51" s="21" t="s">
        <v>136</v>
      </c>
      <c r="G51" s="15">
        <f>IF(F51&lt;&gt; "supplement 2",1,0)</f>
        <v>0</v>
      </c>
      <c r="H51" s="15"/>
      <c r="AA51" s="15" t="str">
        <f>matrixen!B99</f>
        <v>vispastei</v>
      </c>
    </row>
    <row r="52" spans="1:27" x14ac:dyDescent="0.25">
      <c r="E52">
        <v>3</v>
      </c>
      <c r="F52" s="21" t="s">
        <v>136</v>
      </c>
      <c r="G52" s="15">
        <f>IF(F52&lt;&gt; "supplement 2",1,0)</f>
        <v>0</v>
      </c>
      <c r="H52" s="15"/>
      <c r="AA52" s="15" t="str">
        <f>matrixen!B100</f>
        <v>koolvis</v>
      </c>
    </row>
    <row r="53" spans="1:27" x14ac:dyDescent="0.25">
      <c r="F53" s="15" t="s">
        <v>135</v>
      </c>
      <c r="AA53" s="15" t="str">
        <f>matrixen!B101</f>
        <v>tomaat met krabsla</v>
      </c>
    </row>
    <row r="54" spans="1:27" x14ac:dyDescent="0.25">
      <c r="B54" s="2" t="s">
        <v>143</v>
      </c>
      <c r="F54" s="15" t="s">
        <v>136</v>
      </c>
      <c r="AA54" s="15" t="str">
        <f>matrixen!B102</f>
        <v>pandalusgarnalen</v>
      </c>
    </row>
    <row r="55" spans="1:27" x14ac:dyDescent="0.25">
      <c r="B55" s="21" t="s">
        <v>245</v>
      </c>
      <c r="D55" s="16">
        <f>VLOOKUP(B55,matrixen!B124:M126,12,FALSE)</f>
        <v>3.8</v>
      </c>
      <c r="AA55" s="15" t="str">
        <f>matrixen!B103</f>
        <v>haring met dille</v>
      </c>
    </row>
    <row r="56" spans="1:27" x14ac:dyDescent="0.25">
      <c r="B56" s="15" t="s">
        <v>245</v>
      </c>
      <c r="AA56" s="15" t="str">
        <f>matrixen!B104</f>
        <v>américain préparé</v>
      </c>
    </row>
    <row r="57" spans="1:27" x14ac:dyDescent="0.25">
      <c r="F57" s="20" t="s">
        <v>148</v>
      </c>
      <c r="AA57" s="15" t="str">
        <f>matrixen!B105</f>
        <v>varkensgebraad</v>
      </c>
    </row>
    <row r="58" spans="1:27" x14ac:dyDescent="0.25">
      <c r="B58" s="2" t="s">
        <v>144</v>
      </c>
      <c r="AA58" s="15" t="str">
        <f>matrixen!B106</f>
        <v>salami</v>
      </c>
    </row>
    <row r="59" spans="1:27" x14ac:dyDescent="0.25">
      <c r="B59" s="21" t="s">
        <v>155</v>
      </c>
      <c r="D59" s="16">
        <f>VLOOKUP(B59,matrixen!B127:I150,8,FALSE)</f>
        <v>0</v>
      </c>
      <c r="F59" s="1">
        <f>VLOOKUP($B$59,dessert,10,FALSE)</f>
        <v>0</v>
      </c>
      <c r="AA59" s="15" t="str">
        <f>matrixen!B107</f>
        <v>gekookte achterham</v>
      </c>
    </row>
    <row r="60" spans="1:27" x14ac:dyDescent="0.25">
      <c r="B60" s="15" t="s">
        <v>155</v>
      </c>
      <c r="F60" s="1">
        <f>VLOOKUP($B$59,dessert,11,FALSE)</f>
        <v>0</v>
      </c>
      <c r="AA60" s="15" t="str">
        <f>matrixen!B108</f>
        <v>hennepot</v>
      </c>
    </row>
    <row r="61" spans="1:27" x14ac:dyDescent="0.25">
      <c r="B61" t="str">
        <f>IF(B105=matrixen!B195,"Kies hier nu een aantal dessertjes. 4 zijn reeds inbegrepen. Extra aan € " &amp;matrixen!I191&amp;",00/stuk. U selecteerde er tot nu: "&amp;COUNTA(B62:B68),"")</f>
        <v>Kies hier nu een aantal dessertjes. 4 zijn reeds inbegrepen. Extra aan € ,00/stuk. U selecteerde er tot nu: 0</v>
      </c>
      <c r="F61" s="1">
        <f>VLOOKUP($B$59,dessert,12,FALSE)</f>
        <v>0</v>
      </c>
      <c r="AA61" s="15" t="str">
        <f>matrixen!B109</f>
        <v>vleespastei</v>
      </c>
    </row>
    <row r="62" spans="1:27" x14ac:dyDescent="0.25">
      <c r="B62" s="21"/>
      <c r="F62" s="1">
        <f>VLOOKUP($B$59,dessert,13,FALSE)</f>
        <v>0</v>
      </c>
      <c r="AA62" s="15" t="str">
        <f>matrixen!B110</f>
        <v>hoofdvlees</v>
      </c>
    </row>
    <row r="63" spans="1:27" x14ac:dyDescent="0.25">
      <c r="B63" s="21"/>
      <c r="F63" s="1"/>
      <c r="AA63" s="15" t="str">
        <f>matrixen!B111</f>
        <v>stukjes kippebout</v>
      </c>
    </row>
    <row r="64" spans="1:27" x14ac:dyDescent="0.25">
      <c r="B64" s="21"/>
      <c r="F64" s="1"/>
      <c r="AA64" s="15" t="str">
        <f>matrixen!B112</f>
        <v>hespeworst</v>
      </c>
    </row>
    <row r="65" spans="2:27" x14ac:dyDescent="0.25">
      <c r="B65" s="21"/>
      <c r="D65" s="16">
        <f>IF(COUNTA(B62:B68)*matrixen!I128 - IF(B59=matrixen!B132,matrixen!I128*4,0)&lt;0,0,COUNTA(B62:B68)*matrixen!I128 - IF(B59=matrixen!B132,matrixen!I128*4,0))</f>
        <v>0</v>
      </c>
      <c r="F65" s="1" t="str">
        <f>IF(D65&gt;0,"U selecteerde meer dan 4 stuks dessert. Vandaar het supplement.","")</f>
        <v/>
      </c>
      <c r="AA65" s="15" t="str">
        <f>matrixen!B113</f>
        <v>gepocheerde zalm</v>
      </c>
    </row>
    <row r="66" spans="2:27" x14ac:dyDescent="0.25">
      <c r="B66" s="21"/>
      <c r="F66" s="14" t="s">
        <v>400</v>
      </c>
      <c r="H66" s="14" t="s">
        <v>401</v>
      </c>
      <c r="J66" t="str">
        <f>matrixen!A301 &amp; " aan " &amp; matrixen!E301 &amp; " euro"</f>
        <v>Croque uit het vuistje aan 2,8 euro</v>
      </c>
      <c r="AA66" s="15" t="str">
        <f>matrixen!B114</f>
        <v>gerookte bacon</v>
      </c>
    </row>
    <row r="67" spans="2:27" x14ac:dyDescent="0.25">
      <c r="B67" s="21"/>
      <c r="D67" s="16">
        <f>IFERROR(VLOOKUP(F67,matrixen!A301:E305,5,FALSE),0)</f>
        <v>0</v>
      </c>
      <c r="F67" s="137"/>
      <c r="G67" s="137"/>
      <c r="H67" s="137"/>
      <c r="J67" t="str">
        <f>matrixen!A302 &amp; " aan " &amp; matrixen!E302 &amp; " euro"</f>
        <v>Pizza Margherita aan 4,5 euro</v>
      </c>
      <c r="AA67" s="15" t="str">
        <f>matrixen!B115</f>
        <v>gepocheerde forel</v>
      </c>
    </row>
    <row r="68" spans="2:27" x14ac:dyDescent="0.25">
      <c r="B68" s="21"/>
      <c r="D68" s="16">
        <f>IFERROR(VLOOKUP(F68,matrixen!A302:E306,5,FALSE),0)</f>
        <v>0</v>
      </c>
      <c r="F68" s="137"/>
      <c r="G68" s="137"/>
      <c r="H68" s="137"/>
      <c r="J68" t="str">
        <f>matrixen!A303 &amp; " aan " &amp; matrixen!E303 &amp; " euro"</f>
        <v>Belegde broodjes (2 pp) aan 4,5 euro</v>
      </c>
      <c r="AA68" s="15" t="str">
        <f>matrixen!B116</f>
        <v>makreel met peper</v>
      </c>
    </row>
    <row r="69" spans="2:27" x14ac:dyDescent="0.25">
      <c r="B69" s="15" t="s">
        <v>155</v>
      </c>
      <c r="D69" s="16">
        <f>IFERROR(VLOOKUP(F69,matrixen!A303:E307,5,FALSE),0)</f>
        <v>0</v>
      </c>
      <c r="F69" s="137"/>
      <c r="G69" s="137"/>
      <c r="H69" s="137"/>
      <c r="J69" t="str">
        <f>matrixen!A304 &amp; " aan " &amp; matrixen!E304 &amp; " euro"</f>
        <v>Braadworst aan 3 euro</v>
      </c>
    </row>
    <row r="70" spans="2:27" x14ac:dyDescent="0.25">
      <c r="D70" s="16">
        <f>IFERROR(VLOOKUP(F70,matrixen!A304:E308,5,FALSE),0)</f>
        <v>0</v>
      </c>
      <c r="F70" s="137"/>
      <c r="G70" s="137"/>
      <c r="H70" s="137"/>
      <c r="J70" t="str">
        <f>matrixen!A305 &amp; " aan " &amp; matrixen!E305 &amp; " euro"</f>
        <v>Scampi (3pp) Nantua met farfale en broccoli aan 4,5 euro</v>
      </c>
    </row>
    <row r="71" spans="2:27" x14ac:dyDescent="0.25">
      <c r="F71" s="1">
        <f>VLOOKUP($B$59,dessert,14,FALSE)</f>
        <v>0</v>
      </c>
    </row>
    <row r="72" spans="2:27" x14ac:dyDescent="0.25">
      <c r="F72" s="1">
        <f>VLOOKUP($B$59,dessert,15,FALSE)</f>
        <v>0</v>
      </c>
    </row>
    <row r="73" spans="2:27" x14ac:dyDescent="0.25">
      <c r="B73" s="2" t="s">
        <v>159</v>
      </c>
      <c r="G73" s="22" t="s">
        <v>450</v>
      </c>
      <c r="H73" s="21" t="s">
        <v>426</v>
      </c>
    </row>
    <row r="74" spans="2:27" x14ac:dyDescent="0.25">
      <c r="B74" s="21" t="s">
        <v>158</v>
      </c>
      <c r="D74" s="16">
        <f>VLOOKUP(B74,matrixen!B154:I157,8,FALSE)</f>
        <v>0</v>
      </c>
      <c r="J74" s="115" t="str">
        <f>"Wenst u exclusiviteit voor het volledige domein mits meerprijs van € " &amp;matrixen!F222&amp; " ? "</f>
        <v xml:space="preserve">Wenst u exclusiviteit voor het volledige domein mits meerprijs van € 750 ? </v>
      </c>
      <c r="K74" s="21" t="s">
        <v>195</v>
      </c>
      <c r="L74" s="15">
        <f>IF(K74="ja",matrixen!F222,0)</f>
        <v>750</v>
      </c>
    </row>
    <row r="75" spans="2:27" x14ac:dyDescent="0.25">
      <c r="B75" s="15" t="s">
        <v>158</v>
      </c>
    </row>
    <row r="76" spans="2:27" x14ac:dyDescent="0.25">
      <c r="B76" s="21" t="s">
        <v>173</v>
      </c>
      <c r="D76" s="16">
        <f>VLOOKUP(B76,matrixen!A159:P161,15,FALSE)</f>
        <v>0</v>
      </c>
      <c r="E76" s="42" t="str">
        <f>VLOOKUP(B76,matrixen!A159:P161,16,FALSE)</f>
        <v>één rekening</v>
      </c>
      <c r="F76" s="22" t="s">
        <v>174</v>
      </c>
      <c r="G76" s="21" t="s">
        <v>175</v>
      </c>
      <c r="H76" s="22" t="s">
        <v>176</v>
      </c>
      <c r="I76" s="21" t="s">
        <v>175</v>
      </c>
      <c r="J76" s="22" t="s">
        <v>177</v>
      </c>
      <c r="K76" s="21" t="s">
        <v>175</v>
      </c>
    </row>
    <row r="77" spans="2:27" x14ac:dyDescent="0.25">
      <c r="B77" s="15" t="s">
        <v>173</v>
      </c>
      <c r="F77" s="22"/>
      <c r="H77" s="22"/>
      <c r="K77" s="22"/>
    </row>
    <row r="78" spans="2:27" x14ac:dyDescent="0.25">
      <c r="B78" s="14" t="s">
        <v>258</v>
      </c>
      <c r="F78" s="22" t="s">
        <v>178</v>
      </c>
      <c r="G78" s="21" t="s">
        <v>175</v>
      </c>
      <c r="H78" s="22" t="s">
        <v>304</v>
      </c>
      <c r="I78" s="21" t="s">
        <v>175</v>
      </c>
      <c r="J78" t="str">
        <f>IF($I$78="ja",matrixen!A165,"")</f>
        <v/>
      </c>
      <c r="AA78" s="15" t="str">
        <f>matrixen!E97</f>
        <v>supplement 1</v>
      </c>
    </row>
    <row r="79" spans="2:27" x14ac:dyDescent="0.25">
      <c r="B79" s="138" t="s">
        <v>305</v>
      </c>
      <c r="H79" s="22"/>
      <c r="J79" t="str">
        <f>IF($I$78="ja",matrixen!A166,"")</f>
        <v/>
      </c>
      <c r="AA79" s="15" t="str">
        <f>matrixen!E98</f>
        <v>tomaat met grijze garnalen</v>
      </c>
    </row>
    <row r="80" spans="2:27" x14ac:dyDescent="0.25">
      <c r="B80" s="138"/>
      <c r="D80"/>
      <c r="H80" s="22" t="str">
        <f>IF(G78="ja",matrixen!A169,"")</f>
        <v/>
      </c>
      <c r="J80" t="str">
        <f>IF($I$78="ja",matrixen!A167,"")</f>
        <v/>
      </c>
      <c r="AA80" s="15" t="str">
        <f>matrixen!E99</f>
        <v>gerookte zalm</v>
      </c>
    </row>
    <row r="81" spans="2:27" ht="18.75" x14ac:dyDescent="0.3">
      <c r="B81" s="50" t="s">
        <v>166</v>
      </c>
      <c r="D81"/>
      <c r="AA81" s="15" t="str">
        <f>matrixen!E100</f>
        <v>parmaham</v>
      </c>
    </row>
    <row r="82" spans="2:27" ht="19.5" thickBot="1" x14ac:dyDescent="0.35">
      <c r="B82" s="50" t="s">
        <v>160</v>
      </c>
      <c r="D82"/>
      <c r="AA82" s="15" t="str">
        <f>matrixen!E101</f>
        <v>langoustines 1 pp</v>
      </c>
    </row>
    <row r="83" spans="2:27" ht="26.25" x14ac:dyDescent="0.4">
      <c r="D83" s="22"/>
      <c r="E83" s="22" t="s">
        <v>161</v>
      </c>
      <c r="F83" s="23"/>
      <c r="H83" s="28" t="s">
        <v>169</v>
      </c>
      <c r="I83" s="29"/>
      <c r="J83" s="29"/>
      <c r="K83" s="29"/>
      <c r="L83" s="30"/>
      <c r="AA83" s="15" t="str">
        <f>matrixen!E102</f>
        <v>gebakken scampi's 2 pp</v>
      </c>
    </row>
    <row r="84" spans="2:27" x14ac:dyDescent="0.25">
      <c r="D84" s="22"/>
      <c r="E84" s="22"/>
      <c r="F84" s="22" t="s">
        <v>168</v>
      </c>
      <c r="H84" s="31" t="str">
        <f>IF(L84&gt;0,B13,"")</f>
        <v/>
      </c>
      <c r="I84" s="32"/>
      <c r="J84" s="32"/>
      <c r="K84" s="32"/>
      <c r="L84" s="33">
        <f>D13</f>
        <v>0</v>
      </c>
      <c r="AA84" s="15" t="str">
        <f>matrixen!E103</f>
        <v>roastbeef</v>
      </c>
    </row>
    <row r="85" spans="2:27" x14ac:dyDescent="0.25">
      <c r="D85" s="22"/>
      <c r="E85" s="22" t="s">
        <v>162</v>
      </c>
      <c r="F85" s="21">
        <v>10</v>
      </c>
      <c r="H85" s="31" t="str">
        <f>IF(L85&gt;0,B100,"")</f>
        <v/>
      </c>
      <c r="I85" s="32" t="str">
        <f>IF(L85&gt;0,"geldt alleen bij recepties!!!","")</f>
        <v/>
      </c>
      <c r="J85" s="32"/>
      <c r="K85" s="32"/>
      <c r="L85" s="33">
        <f>D100</f>
        <v>0</v>
      </c>
      <c r="AA85" s="15" t="str">
        <f>matrixen!E104</f>
        <v>kabeljauw</v>
      </c>
    </row>
    <row r="86" spans="2:27" x14ac:dyDescent="0.25">
      <c r="D86" s="22"/>
      <c r="E86" s="24" t="s">
        <v>256</v>
      </c>
      <c r="F86" s="21"/>
      <c r="H86" s="31" t="str">
        <f>IF(L86&gt;0,B106,"")</f>
        <v/>
      </c>
      <c r="I86" s="32"/>
      <c r="J86" s="32"/>
      <c r="K86" s="32"/>
      <c r="L86" s="34">
        <f>D106</f>
        <v>0</v>
      </c>
      <c r="AA86" s="15" t="str">
        <f>matrixen!E105</f>
        <v>gerookte heilbot</v>
      </c>
    </row>
    <row r="87" spans="2:27" x14ac:dyDescent="0.25">
      <c r="D87" s="22"/>
      <c r="E87" s="24" t="s">
        <v>164</v>
      </c>
      <c r="F87" s="21"/>
      <c r="H87" s="31" t="str">
        <f>IF(L87&gt;0,B61,"")</f>
        <v/>
      </c>
      <c r="I87" s="32"/>
      <c r="J87" s="32"/>
      <c r="K87" s="32"/>
      <c r="L87" s="34">
        <f>D107</f>
        <v>0</v>
      </c>
      <c r="AA87" s="15" t="str">
        <f>matrixen!E106</f>
        <v>gerookte forelfilet</v>
      </c>
    </row>
    <row r="88" spans="2:27" x14ac:dyDescent="0.25">
      <c r="E88" s="24" t="s">
        <v>163</v>
      </c>
      <c r="F88" s="21"/>
      <c r="H88" s="31" t="str">
        <f>IF(L88&gt;0,B62,"")</f>
        <v/>
      </c>
      <c r="I88" s="32"/>
      <c r="J88" s="32"/>
      <c r="K88" s="32"/>
      <c r="L88" s="34">
        <f>D108</f>
        <v>0</v>
      </c>
    </row>
    <row r="89" spans="2:27" x14ac:dyDescent="0.25">
      <c r="B89" s="25"/>
      <c r="D89" s="22"/>
      <c r="H89" s="31" t="str">
        <f>IF(L89&gt;0,B63,"")</f>
        <v/>
      </c>
      <c r="I89" s="32"/>
      <c r="J89" s="32"/>
      <c r="K89" s="32"/>
      <c r="L89" s="34">
        <f>D109</f>
        <v>0</v>
      </c>
      <c r="AA89" s="15" t="str">
        <f>matrixen!H97</f>
        <v>supplement 2</v>
      </c>
    </row>
    <row r="90" spans="2:27" x14ac:dyDescent="0.25">
      <c r="D90" s="22"/>
      <c r="E90" s="24" t="s">
        <v>197</v>
      </c>
      <c r="F90" s="21"/>
      <c r="G90" s="9"/>
      <c r="H90" s="35" t="str">
        <f>IF(L90&gt;0,B64,"")</f>
        <v/>
      </c>
      <c r="I90" s="36"/>
      <c r="J90" s="36"/>
      <c r="K90" s="36"/>
      <c r="L90" s="41">
        <f>D110</f>
        <v>0</v>
      </c>
      <c r="AA90" s="15" t="str">
        <f>matrixen!H98</f>
        <v>foie gras</v>
      </c>
    </row>
    <row r="91" spans="2:27" x14ac:dyDescent="0.25">
      <c r="E91" s="24" t="s">
        <v>198</v>
      </c>
      <c r="F91" s="21"/>
      <c r="G91" s="9"/>
      <c r="H91" s="31" t="str">
        <f>B36</f>
        <v>Koude aardappelen</v>
      </c>
      <c r="I91" s="32"/>
      <c r="J91" s="32"/>
      <c r="K91" s="32"/>
      <c r="L91" s="34" t="str">
        <f>D36</f>
        <v>inbegrepen</v>
      </c>
      <c r="AA91" s="15" t="str">
        <f>matrixen!H99</f>
        <v>oesters 2pp</v>
      </c>
    </row>
    <row r="92" spans="2:27" x14ac:dyDescent="0.25">
      <c r="E92" s="24" t="s">
        <v>199</v>
      </c>
      <c r="F92" s="21"/>
      <c r="H92" s="35" t="s">
        <v>171</v>
      </c>
      <c r="I92" s="36"/>
      <c r="J92" s="36"/>
      <c r="K92" s="36"/>
      <c r="L92" s="41" t="s">
        <v>129</v>
      </c>
      <c r="AA92" s="15" t="str">
        <f>matrixen!H100</f>
        <v>kreeft</v>
      </c>
    </row>
    <row r="93" spans="2:27" x14ac:dyDescent="0.25">
      <c r="E93" s="24" t="s">
        <v>200</v>
      </c>
      <c r="F93" s="21"/>
      <c r="H93" s="35" t="s">
        <v>172</v>
      </c>
      <c r="I93" s="36"/>
      <c r="J93" s="36"/>
      <c r="K93" s="36"/>
      <c r="L93" s="37">
        <f>D38</f>
        <v>37</v>
      </c>
    </row>
    <row r="94" spans="2:27" x14ac:dyDescent="0.25">
      <c r="E94" s="24" t="s">
        <v>201</v>
      </c>
      <c r="F94" s="21"/>
      <c r="H94" s="31" t="str">
        <f>IF(L94&gt;0,"U selecteerde ook uit supplement 1","")</f>
        <v/>
      </c>
      <c r="I94" s="32"/>
      <c r="J94" s="32"/>
      <c r="K94" s="32"/>
      <c r="L94" s="33">
        <f>D42</f>
        <v>0</v>
      </c>
      <c r="AA94" s="15" t="str">
        <f>matrixen!B124</f>
        <v>Huiswijn, bieren en frisdranken als forfait</v>
      </c>
    </row>
    <row r="95" spans="2:27" x14ac:dyDescent="0.25">
      <c r="E95" s="24" t="s">
        <v>202</v>
      </c>
      <c r="F95" s="21"/>
      <c r="H95" s="35" t="str">
        <f>IF(L95&gt;0,"U selecteerde ook uit supplement 2","")</f>
        <v/>
      </c>
      <c r="I95" s="36"/>
      <c r="J95" s="36"/>
      <c r="K95" s="36"/>
      <c r="L95" s="37">
        <f>D50</f>
        <v>0</v>
      </c>
      <c r="AA95" s="15" t="str">
        <f>matrixen!B125</f>
        <v>Domaine Joel Delauny Touraine  en/of Château Reynier, Bordeaux superieur,  bieren en frisdranken</v>
      </c>
    </row>
    <row r="96" spans="2:27" x14ac:dyDescent="0.25">
      <c r="E96" s="24" t="s">
        <v>308</v>
      </c>
      <c r="F96" s="21"/>
      <c r="H96" s="35" t="str">
        <f>B55</f>
        <v>Huiswijn, bieren en frisdranken als forfait</v>
      </c>
      <c r="I96" s="36"/>
      <c r="J96" s="36"/>
      <c r="K96" s="36"/>
      <c r="L96" s="37">
        <f>D55</f>
        <v>3.8</v>
      </c>
      <c r="AA96" s="15">
        <f>matrixen!B126</f>
        <v>0</v>
      </c>
    </row>
    <row r="97" spans="2:27" x14ac:dyDescent="0.25">
      <c r="E97" s="22" t="s">
        <v>230</v>
      </c>
      <c r="H97" s="31" t="str">
        <f>IF(L97&gt;0,B59,"")</f>
        <v/>
      </c>
      <c r="I97" s="32"/>
      <c r="J97" s="32"/>
      <c r="K97" s="32"/>
      <c r="L97" s="33">
        <f>D59</f>
        <v>0</v>
      </c>
    </row>
    <row r="98" spans="2:27" ht="18.75" x14ac:dyDescent="0.3">
      <c r="B98" s="14" t="s">
        <v>138</v>
      </c>
      <c r="D98" s="22"/>
      <c r="E98" s="22" t="s">
        <v>231</v>
      </c>
      <c r="F98" s="49"/>
      <c r="H98" s="35" t="str">
        <f>IF(L98&gt;0,B74,"")</f>
        <v/>
      </c>
      <c r="I98" s="36"/>
      <c r="J98" s="43"/>
      <c r="K98" s="36"/>
      <c r="L98" s="37">
        <f>D74</f>
        <v>0</v>
      </c>
      <c r="AA98" s="15">
        <f>matrixen!B127</f>
        <v>0</v>
      </c>
    </row>
    <row r="99" spans="2:27" ht="15.75" thickBot="1" x14ac:dyDescent="0.3">
      <c r="H99" s="38" t="s">
        <v>170</v>
      </c>
      <c r="I99" s="39"/>
      <c r="J99" s="39"/>
      <c r="K99" s="39"/>
      <c r="L99" s="40" t="str">
        <f>E76</f>
        <v>één rekening</v>
      </c>
      <c r="AA99" s="15" t="str">
        <f>matrixen!B128</f>
        <v>supplement per stukje gebak:</v>
      </c>
    </row>
    <row r="100" spans="2:27" ht="15.75" thickBot="1" x14ac:dyDescent="0.3">
      <c r="B100" s="21" t="s">
        <v>288</v>
      </c>
      <c r="D100" s="16">
        <f>VLOOKUP(B100,matrixen!B23:I26,8,FALSE)</f>
        <v>0</v>
      </c>
      <c r="AA100" s="15">
        <f>matrixen!B129</f>
        <v>0</v>
      </c>
    </row>
    <row r="101" spans="2:27" ht="15.75" thickBot="1" x14ac:dyDescent="0.3">
      <c r="E101" s="47" t="s">
        <v>223</v>
      </c>
      <c r="F101" s="48">
        <f>Reservatievoorstel!I12</f>
        <v>2000</v>
      </c>
      <c r="H101" s="14" t="s">
        <v>196</v>
      </c>
      <c r="K101" s="21" t="s">
        <v>195</v>
      </c>
      <c r="AA101" s="15" t="str">
        <f>matrixen!B130</f>
        <v>Nog geen dessert geselecteerd</v>
      </c>
    </row>
    <row r="102" spans="2:27" ht="15.75" thickBot="1" x14ac:dyDescent="0.3">
      <c r="F102" s="22" t="s">
        <v>224</v>
      </c>
      <c r="J102" s="14" t="s">
        <v>214</v>
      </c>
      <c r="K102" s="137" t="s">
        <v>232</v>
      </c>
      <c r="L102" s="137"/>
      <c r="M102" s="137"/>
      <c r="N102" s="137"/>
      <c r="O102" s="137"/>
      <c r="AA102" s="15" t="str">
        <f>matrixen!B131</f>
        <v>IJstaart ambachtelijk, speciale vorm, smaak naar keuze</v>
      </c>
    </row>
    <row r="103" spans="2:27" ht="15.75" thickBot="1" x14ac:dyDescent="0.3">
      <c r="F103" s="47" t="s">
        <v>225</v>
      </c>
      <c r="G103" s="48">
        <f>F101*0.02</f>
        <v>40</v>
      </c>
      <c r="J103" s="24" t="s">
        <v>235</v>
      </c>
      <c r="K103" s="137"/>
      <c r="L103" s="137"/>
      <c r="M103" s="137"/>
      <c r="N103" s="137"/>
      <c r="O103" s="137"/>
      <c r="AA103" s="15" t="str">
        <f>matrixen!B132</f>
        <v>Stel hieronder uw mini dessertbordje samen met minstens 4 dessertjes</v>
      </c>
    </row>
    <row r="104" spans="2:27" ht="15.75" thickBot="1" x14ac:dyDescent="0.3">
      <c r="F104" s="47" t="s">
        <v>226</v>
      </c>
      <c r="G104" s="48">
        <f>F101-G103</f>
        <v>1960</v>
      </c>
      <c r="J104" s="24" t="s">
        <v>236</v>
      </c>
      <c r="K104" s="137"/>
      <c r="L104" s="137"/>
      <c r="M104" s="137"/>
      <c r="N104" s="137"/>
      <c r="O104" s="137"/>
      <c r="AA104" s="15" t="str">
        <f>matrixen!B133</f>
        <v>Coupe met vers fruit en verse slagroom.</v>
      </c>
    </row>
    <row r="105" spans="2:27" x14ac:dyDescent="0.25">
      <c r="E105" s="15">
        <f>SUMIF(B106:B110,"warme toostjes per stuk",D106:D110)</f>
        <v>0</v>
      </c>
      <c r="F105" s="1" t="str">
        <f>IF($E$105&gt;0,matrixen!B58,"")</f>
        <v/>
      </c>
      <c r="G105" s="15">
        <f>SUMIF(B106:B110,"koude toostjes per stuk",D106:D110)</f>
        <v>0</v>
      </c>
      <c r="H105" s="1" t="str">
        <f>IF($G$105&gt;0,matrixen!E58,"")</f>
        <v/>
      </c>
      <c r="I105" s="15">
        <f>SUMIF(B106:B110,"aperitiefglaasjes per stuk",D106:D110)</f>
        <v>0</v>
      </c>
      <c r="J105" s="57" t="s">
        <v>270</v>
      </c>
      <c r="K105" s="21" t="s">
        <v>175</v>
      </c>
      <c r="AA105" s="15" t="str">
        <f>matrixen!B134</f>
        <v>Aardbeiensoepje met sinaasappel in seizoen</v>
      </c>
    </row>
    <row r="106" spans="2:27" x14ac:dyDescent="0.25">
      <c r="F106" s="1" t="str">
        <f>IF($E$105&gt;0,matrixen!B59,"")</f>
        <v/>
      </c>
      <c r="G106" s="1"/>
      <c r="H106" s="1" t="str">
        <f>IF($G$105&gt;0,matrixen!E59,"")</f>
        <v/>
      </c>
      <c r="J106" s="1" t="str">
        <f>IF($I$105&gt;0,matrixen!H59,"")</f>
        <v/>
      </c>
      <c r="K106" s="56" t="str">
        <f>IF(K105="ja","Gelieve uw facturatiegegevens bij opmerkingen in te vullen.","")</f>
        <v/>
      </c>
      <c r="AA106" s="15" t="str">
        <f>matrixen!B135</f>
        <v>Coupe met aardbeien en verse slagroom.</v>
      </c>
    </row>
    <row r="107" spans="2:27" x14ac:dyDescent="0.25">
      <c r="F107" s="1" t="str">
        <f>IF($E$105&gt;0,matrixen!B60,"")</f>
        <v/>
      </c>
      <c r="G107" s="1"/>
      <c r="H107" s="1" t="str">
        <f>IF($G$105&gt;0,matrixen!E60,"")</f>
        <v/>
      </c>
      <c r="J107" s="1" t="str">
        <f>IF($I$105&gt;0,matrixen!H60,"")</f>
        <v/>
      </c>
      <c r="K107" s="1"/>
      <c r="AA107" s="15" t="str">
        <f>matrixen!B136</f>
        <v>Dame blanche</v>
      </c>
    </row>
    <row r="108" spans="2:27" x14ac:dyDescent="0.25">
      <c r="F108" s="1" t="str">
        <f>IF($E$105&gt;0,matrixen!B61,"")</f>
        <v/>
      </c>
      <c r="G108" s="1"/>
      <c r="H108" s="1" t="str">
        <f>IF($G$105&gt;0,matrixen!E61,"")</f>
        <v/>
      </c>
      <c r="J108" s="1" t="str">
        <f>IF($I$105&gt;0,matrixen!H61,"")</f>
        <v/>
      </c>
      <c r="K108" s="1"/>
      <c r="AA108" s="15" t="str">
        <f>matrixen!B137</f>
        <v>- frambozentaart</v>
      </c>
    </row>
    <row r="109" spans="2:27" x14ac:dyDescent="0.25">
      <c r="F109" s="1" t="str">
        <f>IF($E$105&gt;0,matrixen!B62,"")</f>
        <v/>
      </c>
      <c r="G109" s="1"/>
      <c r="H109" s="1" t="str">
        <f>IF($G$105&gt;0,matrixen!E62,"")</f>
        <v/>
      </c>
      <c r="J109" s="1" t="str">
        <f>IF($I$105&gt;0,matrixen!H62,"")</f>
        <v/>
      </c>
      <c r="K109" s="1"/>
      <c r="AA109" s="15" t="str">
        <f>matrixen!B138</f>
        <v>- progres</v>
      </c>
    </row>
    <row r="110" spans="2:27" x14ac:dyDescent="0.25">
      <c r="F110" s="1" t="str">
        <f>IF($E$105&gt;0,matrixen!B63,"")</f>
        <v/>
      </c>
      <c r="G110" s="1"/>
      <c r="H110" s="1" t="str">
        <f>IF($G$105&gt;0,matrixen!E63,"")</f>
        <v/>
      </c>
      <c r="I110" s="1"/>
      <c r="J110" s="1" t="str">
        <f>IF($I$105&gt;0,matrixen!H63,"")</f>
        <v/>
      </c>
      <c r="K110" s="1"/>
      <c r="AA110" s="15" t="str">
        <f>matrixen!B139</f>
        <v>- fruitgebakje</v>
      </c>
    </row>
    <row r="111" spans="2:27" x14ac:dyDescent="0.25">
      <c r="F111" s="1" t="str">
        <f>IF($E$105&gt;0,matrixen!B64,"")</f>
        <v/>
      </c>
      <c r="H111" s="1" t="str">
        <f>IF($G$105&gt;0,matrixen!E64,"")</f>
        <v/>
      </c>
      <c r="AA111" s="15" t="str">
        <f>matrixen!B140</f>
        <v>- biscuit crème fraiche met coulis</v>
      </c>
    </row>
    <row r="112" spans="2:27" x14ac:dyDescent="0.25">
      <c r="AA112" s="15" t="str">
        <f>matrixen!B141</f>
        <v>- warme appeltaart met een bolletje ijs</v>
      </c>
    </row>
    <row r="113" spans="27:27" x14ac:dyDescent="0.25">
      <c r="AA113" s="15" t="str">
        <f>matrixen!B142</f>
        <v>- zwarte woudtaart</v>
      </c>
    </row>
    <row r="114" spans="27:27" x14ac:dyDescent="0.25">
      <c r="AA114" s="15" t="str">
        <f>matrixen!B143</f>
        <v>Sabayon met rood fruit</v>
      </c>
    </row>
    <row r="115" spans="27:27" x14ac:dyDescent="0.25">
      <c r="AA115" s="15">
        <f>matrixen!B144</f>
        <v>0</v>
      </c>
    </row>
    <row r="116" spans="27:27" x14ac:dyDescent="0.25">
      <c r="AA116" s="15" t="str">
        <f>matrixen!B145</f>
        <v>Basis dessertbuffet met:</v>
      </c>
    </row>
    <row r="117" spans="27:27" x14ac:dyDescent="0.25">
      <c r="AA117" s="15" t="str">
        <f>matrixen!B146</f>
        <v>Uitgebreid dessertbuffet met:</v>
      </c>
    </row>
    <row r="118" spans="27:27" x14ac:dyDescent="0.25">
      <c r="AA118" s="15" t="str">
        <f>matrixen!B147</f>
        <v>Uitgebreid en luxueus dessertbuffet met:</v>
      </c>
    </row>
    <row r="120" spans="27:27" x14ac:dyDescent="0.25">
      <c r="AA120" s="15" t="str">
        <f>matrixen!B154</f>
        <v>Nog geen keuze gemaakt</v>
      </c>
    </row>
    <row r="121" spans="27:27" x14ac:dyDescent="0.25">
      <c r="AA121" s="15" t="str">
        <f>matrixen!B155</f>
        <v>Koffie 3 X bediend</v>
      </c>
    </row>
    <row r="122" spans="27:27" x14ac:dyDescent="0.25">
      <c r="AA122" s="15" t="str">
        <f>matrixen!B156</f>
        <v>Koffie 3 X bediend met koekjes</v>
      </c>
    </row>
    <row r="123" spans="27:27" x14ac:dyDescent="0.25">
      <c r="AA123" s="15" t="str">
        <f>matrixen!B157</f>
        <v>Koffie 3 X bediend met pralines</v>
      </c>
    </row>
    <row r="125" spans="27:27" x14ac:dyDescent="0.25">
      <c r="AA125" s="44" t="str">
        <f>matrixen!A159</f>
        <v>Alle drank na de maaltijd komt op één rekening en wordt door de organisator van het feest betaald</v>
      </c>
    </row>
    <row r="126" spans="27:27" x14ac:dyDescent="0.25">
      <c r="AA126" s="44" t="str">
        <f>matrixen!A160</f>
        <v>Elke gast die na de maaltijd een drankje bestelt rekent direct af aan de bar</v>
      </c>
    </row>
    <row r="127" spans="27:27" x14ac:dyDescent="0.25">
      <c r="AA127" s="44" t="str">
        <f>matrixen!A161</f>
        <v xml:space="preserve">Forfait voor drank naar believen (alle bieren en frisdranken van de drankkaart in de zaal) na een maaltijd. pp: </v>
      </c>
    </row>
    <row r="129" spans="27:27" x14ac:dyDescent="0.25">
      <c r="AA129" s="15" t="str">
        <f>matrixen!A187</f>
        <v>ja</v>
      </c>
    </row>
    <row r="130" spans="27:27" x14ac:dyDescent="0.25">
      <c r="AA130" s="15" t="str">
        <f>matrixen!A188</f>
        <v>nee</v>
      </c>
    </row>
    <row r="132" spans="27:27" x14ac:dyDescent="0.25">
      <c r="AA132" s="15" t="s">
        <v>232</v>
      </c>
    </row>
    <row r="133" spans="27:27" x14ac:dyDescent="0.25">
      <c r="AA133" s="15" t="s">
        <v>233</v>
      </c>
    </row>
    <row r="134" spans="27:27" x14ac:dyDescent="0.25">
      <c r="AA134" s="15" t="s">
        <v>234</v>
      </c>
    </row>
    <row r="137" spans="27:27" x14ac:dyDescent="0.25">
      <c r="AA137" s="15" t="str">
        <f>matrixen!A380</f>
        <v>Betaling op de dag zelf (cash of bancontact), u bekomt 2% korting op het totaal</v>
      </c>
    </row>
    <row r="138" spans="27:27" x14ac:dyDescent="0.25">
      <c r="AA138" s="15" t="str">
        <f>matrixen!A381</f>
        <v>Storting op BE 48 4631 1391 2127 min. 7 dagen voor het feest, 2% korting</v>
      </c>
    </row>
    <row r="139" spans="27:27" x14ac:dyDescent="0.25">
      <c r="AA139" s="15" t="str">
        <f>matrixen!A382</f>
        <v>Betaling na het feest. Gelieve 40 % voorschot te storten op BE48 4631 1391 2127. Geen korting.</v>
      </c>
    </row>
    <row r="170" spans="4:4" x14ac:dyDescent="0.25">
      <c r="D170" s="22"/>
    </row>
    <row r="171" spans="4:4" x14ac:dyDescent="0.25">
      <c r="D171" s="22"/>
    </row>
    <row r="172" spans="4:4" x14ac:dyDescent="0.25">
      <c r="D172" s="22"/>
    </row>
    <row r="173" spans="4:4" x14ac:dyDescent="0.25">
      <c r="D173" s="22"/>
    </row>
    <row r="174" spans="4:4" x14ac:dyDescent="0.25">
      <c r="D174" s="22"/>
    </row>
    <row r="175" spans="4:4" x14ac:dyDescent="0.25">
      <c r="D175" s="22"/>
    </row>
    <row r="176" spans="4:4" x14ac:dyDescent="0.25">
      <c r="D176" s="22"/>
    </row>
    <row r="177" spans="4:4" x14ac:dyDescent="0.25">
      <c r="D177" s="22"/>
    </row>
    <row r="178" spans="4:4" x14ac:dyDescent="0.25">
      <c r="D178" s="22"/>
    </row>
    <row r="179" spans="4:4" x14ac:dyDescent="0.25">
      <c r="D179" s="22"/>
    </row>
    <row r="180" spans="4:4" x14ac:dyDescent="0.25">
      <c r="D180" s="22"/>
    </row>
    <row r="181" spans="4:4" x14ac:dyDescent="0.25">
      <c r="D181" s="22"/>
    </row>
    <row r="182" spans="4:4" x14ac:dyDescent="0.25">
      <c r="D182" s="22"/>
    </row>
    <row r="183" spans="4:4" x14ac:dyDescent="0.25">
      <c r="D183" s="22"/>
    </row>
    <row r="184" spans="4:4" x14ac:dyDescent="0.25">
      <c r="D184" s="22"/>
    </row>
    <row r="185" spans="4:4" x14ac:dyDescent="0.25">
      <c r="D185" s="22"/>
    </row>
    <row r="186" spans="4:4" x14ac:dyDescent="0.25">
      <c r="D186" s="22"/>
    </row>
    <row r="187" spans="4:4" x14ac:dyDescent="0.25">
      <c r="D187" s="22"/>
    </row>
    <row r="188" spans="4:4" x14ac:dyDescent="0.25">
      <c r="D188" s="22"/>
    </row>
    <row r="189" spans="4:4" x14ac:dyDescent="0.25">
      <c r="D189" s="22"/>
    </row>
    <row r="190" spans="4:4" x14ac:dyDescent="0.25">
      <c r="D190" s="22"/>
    </row>
    <row r="191" spans="4:4" x14ac:dyDescent="0.25">
      <c r="D191" s="22"/>
    </row>
    <row r="192" spans="4:4" x14ac:dyDescent="0.25">
      <c r="D192" s="22"/>
    </row>
  </sheetData>
  <sheetProtection algorithmName="SHA-512" hashValue="H/VLJDkuaI1HNDOoHUgjF9jZ9tCJzUgTzyyK8Jo9EQ3mVuUX4zyKNWDE+f4khi0xF9GJ+V6gx6hTI0XZ5rjCnQ==" saltValue="IoTh0b86pvd96SZHzX//+A==" spinCount="100000" sheet="1" objects="1" scenarios="1" selectLockedCells="1"/>
  <mergeCells count="19">
    <mergeCell ref="F70:H70"/>
    <mergeCell ref="K102:O102"/>
    <mergeCell ref="K103:O103"/>
    <mergeCell ref="K104:O104"/>
    <mergeCell ref="B79:B80"/>
    <mergeCell ref="G13:K13"/>
    <mergeCell ref="G14:K14"/>
    <mergeCell ref="G15:K15"/>
    <mergeCell ref="G16:K16"/>
    <mergeCell ref="G17:K17"/>
    <mergeCell ref="G23:K23"/>
    <mergeCell ref="F67:H67"/>
    <mergeCell ref="F68:H68"/>
    <mergeCell ref="F69:H69"/>
    <mergeCell ref="G18:K18"/>
    <mergeCell ref="G19:K19"/>
    <mergeCell ref="G20:K20"/>
    <mergeCell ref="G21:K21"/>
    <mergeCell ref="G22:K22"/>
  </mergeCells>
  <conditionalFormatting sqref="F105:F106 H105:H106 J106">
    <cfRule type="notContainsBlanks" dxfId="9" priority="4">
      <formula>LEN(TRIM(F105))&gt;0</formula>
    </cfRule>
  </conditionalFormatting>
  <conditionalFormatting sqref="G91">
    <cfRule type="cellIs" dxfId="8" priority="2" operator="greaterThan">
      <formula>604.73</formula>
    </cfRule>
    <cfRule type="cellIs" dxfId="7" priority="3" operator="greaterThan">
      <formula>0</formula>
    </cfRule>
  </conditionalFormatting>
  <dataValidations count="20">
    <dataValidation type="whole" errorStyle="warning" allowBlank="1" showInputMessage="1" showErrorMessage="1" errorTitle="Bent u zeker?" error="U geeft bij voorkeur een getal in  tussen 10 en 250. Let op de verkoopsvoorwaarden punt 7!" sqref="F85" xr:uid="{00000000-0002-0000-0000-000000000000}">
      <formula1>10</formula1>
      <formula2>250</formula2>
    </dataValidation>
    <dataValidation type="date" operator="greaterThan" allowBlank="1" showInputMessage="1" showErrorMessage="1" prompt="Om uw keuze te bewaren, kies “opslaan als” en sla het bestand op op uw harde schijf. " sqref="F83" xr:uid="{00000000-0002-0000-0000-000001000000}">
      <formula1>K38</formula1>
    </dataValidation>
    <dataValidation type="list" allowBlank="1" showInputMessage="1" showErrorMessage="1" promptTitle="OPGELET!" prompt="Hier alleen iets wijzigen indien u zonet koos voor receptie A,B,C,D,E of F" sqref="B100" xr:uid="{00000000-0002-0000-0000-000002000000}">
      <formula1>$AA$26:$AA$28</formula1>
    </dataValidation>
    <dataValidation type="list" allowBlank="1" showInputMessage="1" showErrorMessage="1" sqref="B36" xr:uid="{00000000-0002-0000-0000-000003000000}">
      <formula1>$AA$44:$AA$47</formula1>
    </dataValidation>
    <dataValidation type="list" allowBlank="1" showInputMessage="1" showErrorMessage="1" sqref="F39:F47" xr:uid="{00000000-0002-0000-0000-000005000000}">
      <formula1>$AA$78:$AA$87</formula1>
    </dataValidation>
    <dataValidation type="list" allowBlank="1" showInputMessage="1" showErrorMessage="1" sqref="F50:F52" xr:uid="{00000000-0002-0000-0000-000006000000}">
      <formula1>$AA$89:$AA$92</formula1>
    </dataValidation>
    <dataValidation type="list" allowBlank="1" showInputMessage="1" showErrorMessage="1" sqref="B55" xr:uid="{00000000-0002-0000-0000-000007000000}">
      <formula1>$AA$94:$AA$95</formula1>
    </dataValidation>
    <dataValidation type="list" allowBlank="1" showInputMessage="1" showErrorMessage="1" sqref="B74" xr:uid="{00000000-0002-0000-0000-000008000000}">
      <formula1>$AA$120:$AA$123</formula1>
    </dataValidation>
    <dataValidation type="list" allowBlank="1" showInputMessage="1" showErrorMessage="1" sqref="B76" xr:uid="{00000000-0002-0000-0000-000009000000}">
      <formula1>$AA$125:$AA$127</formula1>
    </dataValidation>
    <dataValidation type="list" allowBlank="1" showInputMessage="1" showErrorMessage="1" sqref="K76 K105 K101 I76 G76 G78 I78 K74" xr:uid="{00000000-0002-0000-0000-00000A000000}">
      <formula1>$AA$129:$AA$130</formula1>
    </dataValidation>
    <dataValidation type="list" allowBlank="1" showInputMessage="1" showErrorMessage="1" sqref="I102" xr:uid="{00000000-0002-0000-0000-00000B000000}">
      <formula1>$AA$111:$AA$113</formula1>
    </dataValidation>
    <dataValidation type="list" allowBlank="1" showInputMessage="1" showErrorMessage="1" sqref="K102" xr:uid="{00000000-0002-0000-0000-00000C000000}">
      <formula1>$AA$132:$AA$134</formula1>
    </dataValidation>
    <dataValidation type="list" allowBlank="1" showInputMessage="1" showErrorMessage="1" sqref="B20" xr:uid="{00000000-0002-0000-0000-00000D000000}">
      <formula1>$B$21:$B$22</formula1>
    </dataValidation>
    <dataValidation type="whole" allowBlank="1" showInputMessage="1" showErrorMessage="1" sqref="F86:F88" xr:uid="{00000000-0002-0000-0000-00000E000000}">
      <formula1>0</formula1>
      <formula2>100</formula2>
    </dataValidation>
    <dataValidation type="list" allowBlank="1" showInputMessage="1" showErrorMessage="1" sqref="B59" xr:uid="{00000000-0002-0000-0000-00000F000000}">
      <formula1>$AA$98:$AA$118</formula1>
    </dataValidation>
    <dataValidation type="list" allowBlank="1" showInputMessage="1" showErrorMessage="1" sqref="B79:B80" xr:uid="{00000000-0002-0000-0000-000010000000}">
      <formula1>$AA$137:$AA$139</formula1>
    </dataValidation>
    <dataValidation type="list" allowBlank="1" showInputMessage="1" showErrorMessage="1" sqref="G13:K23" xr:uid="{00000000-0002-0000-0000-000011000000}">
      <formula1>hapjes</formula1>
    </dataValidation>
    <dataValidation type="list" allowBlank="1" showInputMessage="1" showErrorMessage="1" sqref="B13" xr:uid="{00000000-0002-0000-0000-000012000000}">
      <formula1>$AA$13:$AA$21</formula1>
    </dataValidation>
    <dataValidation type="list" allowBlank="1" showInputMessage="1" showErrorMessage="1" errorTitle="NCBR" error="U kunt in dit vak alleen iets selecteren als u kiest voor &quot;mini dessertbordje&quot; om zelf samen te stellen. U moet eerst uw dessert wijzigen._x000a__x000a_" sqref="B62:B68" xr:uid="{00000000-0002-0000-0000-000013000000}">
      <formula1>dessertjes</formula1>
    </dataValidation>
    <dataValidation type="list" allowBlank="1" showInputMessage="1" showErrorMessage="1" sqref="B39:B50" xr:uid="{00000000-0002-0000-0000-000004000000}">
      <formula1>$AA$49:$AA$70</formula1>
    </dataValidation>
  </dataValidations>
  <pageMargins left="0.7" right="0.7" top="0.75" bottom="0.75" header="0.3" footer="0.3"/>
  <pageSetup paperSize="9" orientation="portrait" horizontalDpi="300" verticalDpi="300" r:id="rId1"/>
  <ignoredErrors>
    <ignoredError sqref="F7"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print="0" autoFill="0" autoPict="0" macro="[0]!Zet_op_nul">
                <anchor moveWithCells="1" sizeWithCells="1">
                  <from>
                    <xdr:col>0</xdr:col>
                    <xdr:colOff>190500</xdr:colOff>
                    <xdr:row>4</xdr:row>
                    <xdr:rowOff>57150</xdr:rowOff>
                  </from>
                  <to>
                    <xdr:col>1</xdr:col>
                    <xdr:colOff>1819275</xdr:colOff>
                    <xdr:row>7</xdr:row>
                    <xdr:rowOff>142875</xdr:rowOff>
                  </to>
                </anchor>
              </controlPr>
            </control>
          </mc:Choice>
        </mc:AlternateContent>
        <mc:AlternateContent xmlns:mc="http://schemas.openxmlformats.org/markup-compatibility/2006">
          <mc:Choice Requires="x14">
            <control shapeId="1027" r:id="rId5" name="Button 3">
              <controlPr defaultSize="0" print="0" autoFill="0" autoPict="0" macro="[0]!Druk_voorstel_af">
                <anchor moveWithCells="1" sizeWithCells="1">
                  <from>
                    <xdr:col>1</xdr:col>
                    <xdr:colOff>2047875</xdr:colOff>
                    <xdr:row>4</xdr:row>
                    <xdr:rowOff>95250</xdr:rowOff>
                  </from>
                  <to>
                    <xdr:col>1</xdr:col>
                    <xdr:colOff>3886200</xdr:colOff>
                    <xdr:row>7</xdr:row>
                    <xdr:rowOff>142875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promptTitle="TIP!" prompt="Het uitgebreid dessertbuffet staat helemaal onderaan!" xr:uid="{00000000-0002-0000-0000-000014000000}">
          <x14:formula1>
            <xm:f>matrixen!$B$127:$B$147</xm:f>
          </x14:formula1>
          <xm:sqref>B59</xm:sqref>
        </x14:dataValidation>
        <x14:dataValidation type="list" allowBlank="1" showInputMessage="1" showErrorMessage="1" xr:uid="{00000000-0002-0000-0000-000015000000}">
          <x14:formula1>
            <xm:f>matrixen!$A$380:$A$382</xm:f>
          </x14:formula1>
          <xm:sqref>B79</xm:sqref>
        </x14:dataValidation>
        <x14:dataValidation type="list" allowBlank="1" showInputMessage="1" showErrorMessage="1" xr:uid="{1CA211BA-D4A3-4598-923E-CBA87AD6AB5A}">
          <x14:formula1>
            <xm:f>matrixen!$A$301:$A$305</xm:f>
          </x14:formula1>
          <xm:sqref>F67:H70</xm:sqref>
        </x14:dataValidation>
        <x14:dataValidation type="list" allowBlank="1" showInputMessage="1" showErrorMessage="1" xr:uid="{A75874E2-921B-49BD-8D94-2AC972595243}">
          <x14:formula1>
            <xm:f>matrixen!$A$500:$A$523</xm:f>
          </x14:formula1>
          <xm:sqref>H73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AM523"/>
  <sheetViews>
    <sheetView showGridLines="0" showRowColHeaders="0" workbookViewId="0"/>
  </sheetViews>
  <sheetFormatPr defaultRowHeight="15" x14ac:dyDescent="0.25"/>
  <cols>
    <col min="1" max="1" width="9.140625" style="116"/>
    <col min="2" max="2" width="10.7109375" style="116" bestFit="1" customWidth="1"/>
    <col min="3" max="10" width="9.140625" style="116"/>
    <col min="11" max="11" width="10.5703125" style="116" bestFit="1" customWidth="1"/>
    <col min="12" max="13" width="10.5703125" style="116" customWidth="1"/>
    <col min="14" max="14" width="13.5703125" style="116" customWidth="1"/>
    <col min="15" max="15" width="11.5703125" style="116" customWidth="1"/>
    <col min="16" max="16" width="21.7109375" style="116" customWidth="1"/>
    <col min="17" max="17" width="15.85546875" style="116" customWidth="1"/>
    <col min="18" max="18" width="16.85546875" style="116" customWidth="1"/>
    <col min="19" max="19" width="24.140625" style="116" bestFit="1" customWidth="1"/>
    <col min="20" max="22" width="9.140625" style="116"/>
    <col min="23" max="23" width="15.28515625" style="116" customWidth="1"/>
    <col min="24" max="24" width="13.28515625" style="116" customWidth="1"/>
    <col min="25" max="25" width="56.42578125" style="116" bestFit="1" customWidth="1"/>
    <col min="26" max="266" width="9.140625" style="116"/>
    <col min="267" max="267" width="10.5703125" style="116" bestFit="1" customWidth="1"/>
    <col min="268" max="269" width="10.5703125" style="116" customWidth="1"/>
    <col min="270" max="270" width="13.5703125" style="116" customWidth="1"/>
    <col min="271" max="271" width="11.5703125" style="116" customWidth="1"/>
    <col min="272" max="272" width="21.7109375" style="116" customWidth="1"/>
    <col min="273" max="273" width="15.85546875" style="116" customWidth="1"/>
    <col min="274" max="274" width="16.85546875" style="116" customWidth="1"/>
    <col min="275" max="275" width="24.140625" style="116" bestFit="1" customWidth="1"/>
    <col min="276" max="278" width="9.140625" style="116"/>
    <col min="279" max="279" width="15.28515625" style="116" customWidth="1"/>
    <col min="280" max="280" width="13.28515625" style="116" customWidth="1"/>
    <col min="281" max="281" width="56.42578125" style="116" bestFit="1" customWidth="1"/>
    <col min="282" max="522" width="9.140625" style="116"/>
    <col min="523" max="523" width="10.5703125" style="116" bestFit="1" customWidth="1"/>
    <col min="524" max="525" width="10.5703125" style="116" customWidth="1"/>
    <col min="526" max="526" width="13.5703125" style="116" customWidth="1"/>
    <col min="527" max="527" width="11.5703125" style="116" customWidth="1"/>
    <col min="528" max="528" width="21.7109375" style="116" customWidth="1"/>
    <col min="529" max="529" width="15.85546875" style="116" customWidth="1"/>
    <col min="530" max="530" width="16.85546875" style="116" customWidth="1"/>
    <col min="531" max="531" width="24.140625" style="116" bestFit="1" customWidth="1"/>
    <col min="532" max="534" width="9.140625" style="116"/>
    <col min="535" max="535" width="15.28515625" style="116" customWidth="1"/>
    <col min="536" max="536" width="13.28515625" style="116" customWidth="1"/>
    <col min="537" max="537" width="56.42578125" style="116" bestFit="1" customWidth="1"/>
    <col min="538" max="778" width="9.140625" style="116"/>
    <col min="779" max="779" width="10.5703125" style="116" bestFit="1" customWidth="1"/>
    <col min="780" max="781" width="10.5703125" style="116" customWidth="1"/>
    <col min="782" max="782" width="13.5703125" style="116" customWidth="1"/>
    <col min="783" max="783" width="11.5703125" style="116" customWidth="1"/>
    <col min="784" max="784" width="21.7109375" style="116" customWidth="1"/>
    <col min="785" max="785" width="15.85546875" style="116" customWidth="1"/>
    <col min="786" max="786" width="16.85546875" style="116" customWidth="1"/>
    <col min="787" max="787" width="24.140625" style="116" bestFit="1" customWidth="1"/>
    <col min="788" max="790" width="9.140625" style="116"/>
    <col min="791" max="791" width="15.28515625" style="116" customWidth="1"/>
    <col min="792" max="792" width="13.28515625" style="116" customWidth="1"/>
    <col min="793" max="793" width="56.42578125" style="116" bestFit="1" customWidth="1"/>
    <col min="794" max="1034" width="9.140625" style="116"/>
    <col min="1035" max="1035" width="10.5703125" style="116" bestFit="1" customWidth="1"/>
    <col min="1036" max="1037" width="10.5703125" style="116" customWidth="1"/>
    <col min="1038" max="1038" width="13.5703125" style="116" customWidth="1"/>
    <col min="1039" max="1039" width="11.5703125" style="116" customWidth="1"/>
    <col min="1040" max="1040" width="21.7109375" style="116" customWidth="1"/>
    <col min="1041" max="1041" width="15.85546875" style="116" customWidth="1"/>
    <col min="1042" max="1042" width="16.85546875" style="116" customWidth="1"/>
    <col min="1043" max="1043" width="24.140625" style="116" bestFit="1" customWidth="1"/>
    <col min="1044" max="1046" width="9.140625" style="116"/>
    <col min="1047" max="1047" width="15.28515625" style="116" customWidth="1"/>
    <col min="1048" max="1048" width="13.28515625" style="116" customWidth="1"/>
    <col min="1049" max="1049" width="56.42578125" style="116" bestFit="1" customWidth="1"/>
    <col min="1050" max="1290" width="9.140625" style="116"/>
    <col min="1291" max="1291" width="10.5703125" style="116" bestFit="1" customWidth="1"/>
    <col min="1292" max="1293" width="10.5703125" style="116" customWidth="1"/>
    <col min="1294" max="1294" width="13.5703125" style="116" customWidth="1"/>
    <col min="1295" max="1295" width="11.5703125" style="116" customWidth="1"/>
    <col min="1296" max="1296" width="21.7109375" style="116" customWidth="1"/>
    <col min="1297" max="1297" width="15.85546875" style="116" customWidth="1"/>
    <col min="1298" max="1298" width="16.85546875" style="116" customWidth="1"/>
    <col min="1299" max="1299" width="24.140625" style="116" bestFit="1" customWidth="1"/>
    <col min="1300" max="1302" width="9.140625" style="116"/>
    <col min="1303" max="1303" width="15.28515625" style="116" customWidth="1"/>
    <col min="1304" max="1304" width="13.28515625" style="116" customWidth="1"/>
    <col min="1305" max="1305" width="56.42578125" style="116" bestFit="1" customWidth="1"/>
    <col min="1306" max="1546" width="9.140625" style="116"/>
    <col min="1547" max="1547" width="10.5703125" style="116" bestFit="1" customWidth="1"/>
    <col min="1548" max="1549" width="10.5703125" style="116" customWidth="1"/>
    <col min="1550" max="1550" width="13.5703125" style="116" customWidth="1"/>
    <col min="1551" max="1551" width="11.5703125" style="116" customWidth="1"/>
    <col min="1552" max="1552" width="21.7109375" style="116" customWidth="1"/>
    <col min="1553" max="1553" width="15.85546875" style="116" customWidth="1"/>
    <col min="1554" max="1554" width="16.85546875" style="116" customWidth="1"/>
    <col min="1555" max="1555" width="24.140625" style="116" bestFit="1" customWidth="1"/>
    <col min="1556" max="1558" width="9.140625" style="116"/>
    <col min="1559" max="1559" width="15.28515625" style="116" customWidth="1"/>
    <col min="1560" max="1560" width="13.28515625" style="116" customWidth="1"/>
    <col min="1561" max="1561" width="56.42578125" style="116" bestFit="1" customWidth="1"/>
    <col min="1562" max="1802" width="9.140625" style="116"/>
    <col min="1803" max="1803" width="10.5703125" style="116" bestFit="1" customWidth="1"/>
    <col min="1804" max="1805" width="10.5703125" style="116" customWidth="1"/>
    <col min="1806" max="1806" width="13.5703125" style="116" customWidth="1"/>
    <col min="1807" max="1807" width="11.5703125" style="116" customWidth="1"/>
    <col min="1808" max="1808" width="21.7109375" style="116" customWidth="1"/>
    <col min="1809" max="1809" width="15.85546875" style="116" customWidth="1"/>
    <col min="1810" max="1810" width="16.85546875" style="116" customWidth="1"/>
    <col min="1811" max="1811" width="24.140625" style="116" bestFit="1" customWidth="1"/>
    <col min="1812" max="1814" width="9.140625" style="116"/>
    <col min="1815" max="1815" width="15.28515625" style="116" customWidth="1"/>
    <col min="1816" max="1816" width="13.28515625" style="116" customWidth="1"/>
    <col min="1817" max="1817" width="56.42578125" style="116" bestFit="1" customWidth="1"/>
    <col min="1818" max="2058" width="9.140625" style="116"/>
    <col min="2059" max="2059" width="10.5703125" style="116" bestFit="1" customWidth="1"/>
    <col min="2060" max="2061" width="10.5703125" style="116" customWidth="1"/>
    <col min="2062" max="2062" width="13.5703125" style="116" customWidth="1"/>
    <col min="2063" max="2063" width="11.5703125" style="116" customWidth="1"/>
    <col min="2064" max="2064" width="21.7109375" style="116" customWidth="1"/>
    <col min="2065" max="2065" width="15.85546875" style="116" customWidth="1"/>
    <col min="2066" max="2066" width="16.85546875" style="116" customWidth="1"/>
    <col min="2067" max="2067" width="24.140625" style="116" bestFit="1" customWidth="1"/>
    <col min="2068" max="2070" width="9.140625" style="116"/>
    <col min="2071" max="2071" width="15.28515625" style="116" customWidth="1"/>
    <col min="2072" max="2072" width="13.28515625" style="116" customWidth="1"/>
    <col min="2073" max="2073" width="56.42578125" style="116" bestFit="1" customWidth="1"/>
    <col min="2074" max="2314" width="9.140625" style="116"/>
    <col min="2315" max="2315" width="10.5703125" style="116" bestFit="1" customWidth="1"/>
    <col min="2316" max="2317" width="10.5703125" style="116" customWidth="1"/>
    <col min="2318" max="2318" width="13.5703125" style="116" customWidth="1"/>
    <col min="2319" max="2319" width="11.5703125" style="116" customWidth="1"/>
    <col min="2320" max="2320" width="21.7109375" style="116" customWidth="1"/>
    <col min="2321" max="2321" width="15.85546875" style="116" customWidth="1"/>
    <col min="2322" max="2322" width="16.85546875" style="116" customWidth="1"/>
    <col min="2323" max="2323" width="24.140625" style="116" bestFit="1" customWidth="1"/>
    <col min="2324" max="2326" width="9.140625" style="116"/>
    <col min="2327" max="2327" width="15.28515625" style="116" customWidth="1"/>
    <col min="2328" max="2328" width="13.28515625" style="116" customWidth="1"/>
    <col min="2329" max="2329" width="56.42578125" style="116" bestFit="1" customWidth="1"/>
    <col min="2330" max="2570" width="9.140625" style="116"/>
    <col min="2571" max="2571" width="10.5703125" style="116" bestFit="1" customWidth="1"/>
    <col min="2572" max="2573" width="10.5703125" style="116" customWidth="1"/>
    <col min="2574" max="2574" width="13.5703125" style="116" customWidth="1"/>
    <col min="2575" max="2575" width="11.5703125" style="116" customWidth="1"/>
    <col min="2576" max="2576" width="21.7109375" style="116" customWidth="1"/>
    <col min="2577" max="2577" width="15.85546875" style="116" customWidth="1"/>
    <col min="2578" max="2578" width="16.85546875" style="116" customWidth="1"/>
    <col min="2579" max="2579" width="24.140625" style="116" bestFit="1" customWidth="1"/>
    <col min="2580" max="2582" width="9.140625" style="116"/>
    <col min="2583" max="2583" width="15.28515625" style="116" customWidth="1"/>
    <col min="2584" max="2584" width="13.28515625" style="116" customWidth="1"/>
    <col min="2585" max="2585" width="56.42578125" style="116" bestFit="1" customWidth="1"/>
    <col min="2586" max="2826" width="9.140625" style="116"/>
    <col min="2827" max="2827" width="10.5703125" style="116" bestFit="1" customWidth="1"/>
    <col min="2828" max="2829" width="10.5703125" style="116" customWidth="1"/>
    <col min="2830" max="2830" width="13.5703125" style="116" customWidth="1"/>
    <col min="2831" max="2831" width="11.5703125" style="116" customWidth="1"/>
    <col min="2832" max="2832" width="21.7109375" style="116" customWidth="1"/>
    <col min="2833" max="2833" width="15.85546875" style="116" customWidth="1"/>
    <col min="2834" max="2834" width="16.85546875" style="116" customWidth="1"/>
    <col min="2835" max="2835" width="24.140625" style="116" bestFit="1" customWidth="1"/>
    <col min="2836" max="2838" width="9.140625" style="116"/>
    <col min="2839" max="2839" width="15.28515625" style="116" customWidth="1"/>
    <col min="2840" max="2840" width="13.28515625" style="116" customWidth="1"/>
    <col min="2841" max="2841" width="56.42578125" style="116" bestFit="1" customWidth="1"/>
    <col min="2842" max="3082" width="9.140625" style="116"/>
    <col min="3083" max="3083" width="10.5703125" style="116" bestFit="1" customWidth="1"/>
    <col min="3084" max="3085" width="10.5703125" style="116" customWidth="1"/>
    <col min="3086" max="3086" width="13.5703125" style="116" customWidth="1"/>
    <col min="3087" max="3087" width="11.5703125" style="116" customWidth="1"/>
    <col min="3088" max="3088" width="21.7109375" style="116" customWidth="1"/>
    <col min="3089" max="3089" width="15.85546875" style="116" customWidth="1"/>
    <col min="3090" max="3090" width="16.85546875" style="116" customWidth="1"/>
    <col min="3091" max="3091" width="24.140625" style="116" bestFit="1" customWidth="1"/>
    <col min="3092" max="3094" width="9.140625" style="116"/>
    <col min="3095" max="3095" width="15.28515625" style="116" customWidth="1"/>
    <col min="3096" max="3096" width="13.28515625" style="116" customWidth="1"/>
    <col min="3097" max="3097" width="56.42578125" style="116" bestFit="1" customWidth="1"/>
    <col min="3098" max="3338" width="9.140625" style="116"/>
    <col min="3339" max="3339" width="10.5703125" style="116" bestFit="1" customWidth="1"/>
    <col min="3340" max="3341" width="10.5703125" style="116" customWidth="1"/>
    <col min="3342" max="3342" width="13.5703125" style="116" customWidth="1"/>
    <col min="3343" max="3343" width="11.5703125" style="116" customWidth="1"/>
    <col min="3344" max="3344" width="21.7109375" style="116" customWidth="1"/>
    <col min="3345" max="3345" width="15.85546875" style="116" customWidth="1"/>
    <col min="3346" max="3346" width="16.85546875" style="116" customWidth="1"/>
    <col min="3347" max="3347" width="24.140625" style="116" bestFit="1" customWidth="1"/>
    <col min="3348" max="3350" width="9.140625" style="116"/>
    <col min="3351" max="3351" width="15.28515625" style="116" customWidth="1"/>
    <col min="3352" max="3352" width="13.28515625" style="116" customWidth="1"/>
    <col min="3353" max="3353" width="56.42578125" style="116" bestFit="1" customWidth="1"/>
    <col min="3354" max="3594" width="9.140625" style="116"/>
    <col min="3595" max="3595" width="10.5703125" style="116" bestFit="1" customWidth="1"/>
    <col min="3596" max="3597" width="10.5703125" style="116" customWidth="1"/>
    <col min="3598" max="3598" width="13.5703125" style="116" customWidth="1"/>
    <col min="3599" max="3599" width="11.5703125" style="116" customWidth="1"/>
    <col min="3600" max="3600" width="21.7109375" style="116" customWidth="1"/>
    <col min="3601" max="3601" width="15.85546875" style="116" customWidth="1"/>
    <col min="3602" max="3602" width="16.85546875" style="116" customWidth="1"/>
    <col min="3603" max="3603" width="24.140625" style="116" bestFit="1" customWidth="1"/>
    <col min="3604" max="3606" width="9.140625" style="116"/>
    <col min="3607" max="3607" width="15.28515625" style="116" customWidth="1"/>
    <col min="3608" max="3608" width="13.28515625" style="116" customWidth="1"/>
    <col min="3609" max="3609" width="56.42578125" style="116" bestFit="1" customWidth="1"/>
    <col min="3610" max="3850" width="9.140625" style="116"/>
    <col min="3851" max="3851" width="10.5703125" style="116" bestFit="1" customWidth="1"/>
    <col min="3852" max="3853" width="10.5703125" style="116" customWidth="1"/>
    <col min="3854" max="3854" width="13.5703125" style="116" customWidth="1"/>
    <col min="3855" max="3855" width="11.5703125" style="116" customWidth="1"/>
    <col min="3856" max="3856" width="21.7109375" style="116" customWidth="1"/>
    <col min="3857" max="3857" width="15.85546875" style="116" customWidth="1"/>
    <col min="3858" max="3858" width="16.85546875" style="116" customWidth="1"/>
    <col min="3859" max="3859" width="24.140625" style="116" bestFit="1" customWidth="1"/>
    <col min="3860" max="3862" width="9.140625" style="116"/>
    <col min="3863" max="3863" width="15.28515625" style="116" customWidth="1"/>
    <col min="3864" max="3864" width="13.28515625" style="116" customWidth="1"/>
    <col min="3865" max="3865" width="56.42578125" style="116" bestFit="1" customWidth="1"/>
    <col min="3866" max="4106" width="9.140625" style="116"/>
    <col min="4107" max="4107" width="10.5703125" style="116" bestFit="1" customWidth="1"/>
    <col min="4108" max="4109" width="10.5703125" style="116" customWidth="1"/>
    <col min="4110" max="4110" width="13.5703125" style="116" customWidth="1"/>
    <col min="4111" max="4111" width="11.5703125" style="116" customWidth="1"/>
    <col min="4112" max="4112" width="21.7109375" style="116" customWidth="1"/>
    <col min="4113" max="4113" width="15.85546875" style="116" customWidth="1"/>
    <col min="4114" max="4114" width="16.85546875" style="116" customWidth="1"/>
    <col min="4115" max="4115" width="24.140625" style="116" bestFit="1" customWidth="1"/>
    <col min="4116" max="4118" width="9.140625" style="116"/>
    <col min="4119" max="4119" width="15.28515625" style="116" customWidth="1"/>
    <col min="4120" max="4120" width="13.28515625" style="116" customWidth="1"/>
    <col min="4121" max="4121" width="56.42578125" style="116" bestFit="1" customWidth="1"/>
    <col min="4122" max="4362" width="9.140625" style="116"/>
    <col min="4363" max="4363" width="10.5703125" style="116" bestFit="1" customWidth="1"/>
    <col min="4364" max="4365" width="10.5703125" style="116" customWidth="1"/>
    <col min="4366" max="4366" width="13.5703125" style="116" customWidth="1"/>
    <col min="4367" max="4367" width="11.5703125" style="116" customWidth="1"/>
    <col min="4368" max="4368" width="21.7109375" style="116" customWidth="1"/>
    <col min="4369" max="4369" width="15.85546875" style="116" customWidth="1"/>
    <col min="4370" max="4370" width="16.85546875" style="116" customWidth="1"/>
    <col min="4371" max="4371" width="24.140625" style="116" bestFit="1" customWidth="1"/>
    <col min="4372" max="4374" width="9.140625" style="116"/>
    <col min="4375" max="4375" width="15.28515625" style="116" customWidth="1"/>
    <col min="4376" max="4376" width="13.28515625" style="116" customWidth="1"/>
    <col min="4377" max="4377" width="56.42578125" style="116" bestFit="1" customWidth="1"/>
    <col min="4378" max="4618" width="9.140625" style="116"/>
    <col min="4619" max="4619" width="10.5703125" style="116" bestFit="1" customWidth="1"/>
    <col min="4620" max="4621" width="10.5703125" style="116" customWidth="1"/>
    <col min="4622" max="4622" width="13.5703125" style="116" customWidth="1"/>
    <col min="4623" max="4623" width="11.5703125" style="116" customWidth="1"/>
    <col min="4624" max="4624" width="21.7109375" style="116" customWidth="1"/>
    <col min="4625" max="4625" width="15.85546875" style="116" customWidth="1"/>
    <col min="4626" max="4626" width="16.85546875" style="116" customWidth="1"/>
    <col min="4627" max="4627" width="24.140625" style="116" bestFit="1" customWidth="1"/>
    <col min="4628" max="4630" width="9.140625" style="116"/>
    <col min="4631" max="4631" width="15.28515625" style="116" customWidth="1"/>
    <col min="4632" max="4632" width="13.28515625" style="116" customWidth="1"/>
    <col min="4633" max="4633" width="56.42578125" style="116" bestFit="1" customWidth="1"/>
    <col min="4634" max="4874" width="9.140625" style="116"/>
    <col min="4875" max="4875" width="10.5703125" style="116" bestFit="1" customWidth="1"/>
    <col min="4876" max="4877" width="10.5703125" style="116" customWidth="1"/>
    <col min="4878" max="4878" width="13.5703125" style="116" customWidth="1"/>
    <col min="4879" max="4879" width="11.5703125" style="116" customWidth="1"/>
    <col min="4880" max="4880" width="21.7109375" style="116" customWidth="1"/>
    <col min="4881" max="4881" width="15.85546875" style="116" customWidth="1"/>
    <col min="4882" max="4882" width="16.85546875" style="116" customWidth="1"/>
    <col min="4883" max="4883" width="24.140625" style="116" bestFit="1" customWidth="1"/>
    <col min="4884" max="4886" width="9.140625" style="116"/>
    <col min="4887" max="4887" width="15.28515625" style="116" customWidth="1"/>
    <col min="4888" max="4888" width="13.28515625" style="116" customWidth="1"/>
    <col min="4889" max="4889" width="56.42578125" style="116" bestFit="1" customWidth="1"/>
    <col min="4890" max="5130" width="9.140625" style="116"/>
    <col min="5131" max="5131" width="10.5703125" style="116" bestFit="1" customWidth="1"/>
    <col min="5132" max="5133" width="10.5703125" style="116" customWidth="1"/>
    <col min="5134" max="5134" width="13.5703125" style="116" customWidth="1"/>
    <col min="5135" max="5135" width="11.5703125" style="116" customWidth="1"/>
    <col min="5136" max="5136" width="21.7109375" style="116" customWidth="1"/>
    <col min="5137" max="5137" width="15.85546875" style="116" customWidth="1"/>
    <col min="5138" max="5138" width="16.85546875" style="116" customWidth="1"/>
    <col min="5139" max="5139" width="24.140625" style="116" bestFit="1" customWidth="1"/>
    <col min="5140" max="5142" width="9.140625" style="116"/>
    <col min="5143" max="5143" width="15.28515625" style="116" customWidth="1"/>
    <col min="5144" max="5144" width="13.28515625" style="116" customWidth="1"/>
    <col min="5145" max="5145" width="56.42578125" style="116" bestFit="1" customWidth="1"/>
    <col min="5146" max="5386" width="9.140625" style="116"/>
    <col min="5387" max="5387" width="10.5703125" style="116" bestFit="1" customWidth="1"/>
    <col min="5388" max="5389" width="10.5703125" style="116" customWidth="1"/>
    <col min="5390" max="5390" width="13.5703125" style="116" customWidth="1"/>
    <col min="5391" max="5391" width="11.5703125" style="116" customWidth="1"/>
    <col min="5392" max="5392" width="21.7109375" style="116" customWidth="1"/>
    <col min="5393" max="5393" width="15.85546875" style="116" customWidth="1"/>
    <col min="5394" max="5394" width="16.85546875" style="116" customWidth="1"/>
    <col min="5395" max="5395" width="24.140625" style="116" bestFit="1" customWidth="1"/>
    <col min="5396" max="5398" width="9.140625" style="116"/>
    <col min="5399" max="5399" width="15.28515625" style="116" customWidth="1"/>
    <col min="5400" max="5400" width="13.28515625" style="116" customWidth="1"/>
    <col min="5401" max="5401" width="56.42578125" style="116" bestFit="1" customWidth="1"/>
    <col min="5402" max="5642" width="9.140625" style="116"/>
    <col min="5643" max="5643" width="10.5703125" style="116" bestFit="1" customWidth="1"/>
    <col min="5644" max="5645" width="10.5703125" style="116" customWidth="1"/>
    <col min="5646" max="5646" width="13.5703125" style="116" customWidth="1"/>
    <col min="5647" max="5647" width="11.5703125" style="116" customWidth="1"/>
    <col min="5648" max="5648" width="21.7109375" style="116" customWidth="1"/>
    <col min="5649" max="5649" width="15.85546875" style="116" customWidth="1"/>
    <col min="5650" max="5650" width="16.85546875" style="116" customWidth="1"/>
    <col min="5651" max="5651" width="24.140625" style="116" bestFit="1" customWidth="1"/>
    <col min="5652" max="5654" width="9.140625" style="116"/>
    <col min="5655" max="5655" width="15.28515625" style="116" customWidth="1"/>
    <col min="5656" max="5656" width="13.28515625" style="116" customWidth="1"/>
    <col min="5657" max="5657" width="56.42578125" style="116" bestFit="1" customWidth="1"/>
    <col min="5658" max="5898" width="9.140625" style="116"/>
    <col min="5899" max="5899" width="10.5703125" style="116" bestFit="1" customWidth="1"/>
    <col min="5900" max="5901" width="10.5703125" style="116" customWidth="1"/>
    <col min="5902" max="5902" width="13.5703125" style="116" customWidth="1"/>
    <col min="5903" max="5903" width="11.5703125" style="116" customWidth="1"/>
    <col min="5904" max="5904" width="21.7109375" style="116" customWidth="1"/>
    <col min="5905" max="5905" width="15.85546875" style="116" customWidth="1"/>
    <col min="5906" max="5906" width="16.85546875" style="116" customWidth="1"/>
    <col min="5907" max="5907" width="24.140625" style="116" bestFit="1" customWidth="1"/>
    <col min="5908" max="5910" width="9.140625" style="116"/>
    <col min="5911" max="5911" width="15.28515625" style="116" customWidth="1"/>
    <col min="5912" max="5912" width="13.28515625" style="116" customWidth="1"/>
    <col min="5913" max="5913" width="56.42578125" style="116" bestFit="1" customWidth="1"/>
    <col min="5914" max="6154" width="9.140625" style="116"/>
    <col min="6155" max="6155" width="10.5703125" style="116" bestFit="1" customWidth="1"/>
    <col min="6156" max="6157" width="10.5703125" style="116" customWidth="1"/>
    <col min="6158" max="6158" width="13.5703125" style="116" customWidth="1"/>
    <col min="6159" max="6159" width="11.5703125" style="116" customWidth="1"/>
    <col min="6160" max="6160" width="21.7109375" style="116" customWidth="1"/>
    <col min="6161" max="6161" width="15.85546875" style="116" customWidth="1"/>
    <col min="6162" max="6162" width="16.85546875" style="116" customWidth="1"/>
    <col min="6163" max="6163" width="24.140625" style="116" bestFit="1" customWidth="1"/>
    <col min="6164" max="6166" width="9.140625" style="116"/>
    <col min="6167" max="6167" width="15.28515625" style="116" customWidth="1"/>
    <col min="6168" max="6168" width="13.28515625" style="116" customWidth="1"/>
    <col min="6169" max="6169" width="56.42578125" style="116" bestFit="1" customWidth="1"/>
    <col min="6170" max="6410" width="9.140625" style="116"/>
    <col min="6411" max="6411" width="10.5703125" style="116" bestFit="1" customWidth="1"/>
    <col min="6412" max="6413" width="10.5703125" style="116" customWidth="1"/>
    <col min="6414" max="6414" width="13.5703125" style="116" customWidth="1"/>
    <col min="6415" max="6415" width="11.5703125" style="116" customWidth="1"/>
    <col min="6416" max="6416" width="21.7109375" style="116" customWidth="1"/>
    <col min="6417" max="6417" width="15.85546875" style="116" customWidth="1"/>
    <col min="6418" max="6418" width="16.85546875" style="116" customWidth="1"/>
    <col min="6419" max="6419" width="24.140625" style="116" bestFit="1" customWidth="1"/>
    <col min="6420" max="6422" width="9.140625" style="116"/>
    <col min="6423" max="6423" width="15.28515625" style="116" customWidth="1"/>
    <col min="6424" max="6424" width="13.28515625" style="116" customWidth="1"/>
    <col min="6425" max="6425" width="56.42578125" style="116" bestFit="1" customWidth="1"/>
    <col min="6426" max="6666" width="9.140625" style="116"/>
    <col min="6667" max="6667" width="10.5703125" style="116" bestFit="1" customWidth="1"/>
    <col min="6668" max="6669" width="10.5703125" style="116" customWidth="1"/>
    <col min="6670" max="6670" width="13.5703125" style="116" customWidth="1"/>
    <col min="6671" max="6671" width="11.5703125" style="116" customWidth="1"/>
    <col min="6672" max="6672" width="21.7109375" style="116" customWidth="1"/>
    <col min="6673" max="6673" width="15.85546875" style="116" customWidth="1"/>
    <col min="6674" max="6674" width="16.85546875" style="116" customWidth="1"/>
    <col min="6675" max="6675" width="24.140625" style="116" bestFit="1" customWidth="1"/>
    <col min="6676" max="6678" width="9.140625" style="116"/>
    <col min="6679" max="6679" width="15.28515625" style="116" customWidth="1"/>
    <col min="6680" max="6680" width="13.28515625" style="116" customWidth="1"/>
    <col min="6681" max="6681" width="56.42578125" style="116" bestFit="1" customWidth="1"/>
    <col min="6682" max="6922" width="9.140625" style="116"/>
    <col min="6923" max="6923" width="10.5703125" style="116" bestFit="1" customWidth="1"/>
    <col min="6924" max="6925" width="10.5703125" style="116" customWidth="1"/>
    <col min="6926" max="6926" width="13.5703125" style="116" customWidth="1"/>
    <col min="6927" max="6927" width="11.5703125" style="116" customWidth="1"/>
    <col min="6928" max="6928" width="21.7109375" style="116" customWidth="1"/>
    <col min="6929" max="6929" width="15.85546875" style="116" customWidth="1"/>
    <col min="6930" max="6930" width="16.85546875" style="116" customWidth="1"/>
    <col min="6931" max="6931" width="24.140625" style="116" bestFit="1" customWidth="1"/>
    <col min="6932" max="6934" width="9.140625" style="116"/>
    <col min="6935" max="6935" width="15.28515625" style="116" customWidth="1"/>
    <col min="6936" max="6936" width="13.28515625" style="116" customWidth="1"/>
    <col min="6937" max="6937" width="56.42578125" style="116" bestFit="1" customWidth="1"/>
    <col min="6938" max="7178" width="9.140625" style="116"/>
    <col min="7179" max="7179" width="10.5703125" style="116" bestFit="1" customWidth="1"/>
    <col min="7180" max="7181" width="10.5703125" style="116" customWidth="1"/>
    <col min="7182" max="7182" width="13.5703125" style="116" customWidth="1"/>
    <col min="7183" max="7183" width="11.5703125" style="116" customWidth="1"/>
    <col min="7184" max="7184" width="21.7109375" style="116" customWidth="1"/>
    <col min="7185" max="7185" width="15.85546875" style="116" customWidth="1"/>
    <col min="7186" max="7186" width="16.85546875" style="116" customWidth="1"/>
    <col min="7187" max="7187" width="24.140625" style="116" bestFit="1" customWidth="1"/>
    <col min="7188" max="7190" width="9.140625" style="116"/>
    <col min="7191" max="7191" width="15.28515625" style="116" customWidth="1"/>
    <col min="7192" max="7192" width="13.28515625" style="116" customWidth="1"/>
    <col min="7193" max="7193" width="56.42578125" style="116" bestFit="1" customWidth="1"/>
    <col min="7194" max="7434" width="9.140625" style="116"/>
    <col min="7435" max="7435" width="10.5703125" style="116" bestFit="1" customWidth="1"/>
    <col min="7436" max="7437" width="10.5703125" style="116" customWidth="1"/>
    <col min="7438" max="7438" width="13.5703125" style="116" customWidth="1"/>
    <col min="7439" max="7439" width="11.5703125" style="116" customWidth="1"/>
    <col min="7440" max="7440" width="21.7109375" style="116" customWidth="1"/>
    <col min="7441" max="7441" width="15.85546875" style="116" customWidth="1"/>
    <col min="7442" max="7442" width="16.85546875" style="116" customWidth="1"/>
    <col min="7443" max="7443" width="24.140625" style="116" bestFit="1" customWidth="1"/>
    <col min="7444" max="7446" width="9.140625" style="116"/>
    <col min="7447" max="7447" width="15.28515625" style="116" customWidth="1"/>
    <col min="7448" max="7448" width="13.28515625" style="116" customWidth="1"/>
    <col min="7449" max="7449" width="56.42578125" style="116" bestFit="1" customWidth="1"/>
    <col min="7450" max="7690" width="9.140625" style="116"/>
    <col min="7691" max="7691" width="10.5703125" style="116" bestFit="1" customWidth="1"/>
    <col min="7692" max="7693" width="10.5703125" style="116" customWidth="1"/>
    <col min="7694" max="7694" width="13.5703125" style="116" customWidth="1"/>
    <col min="7695" max="7695" width="11.5703125" style="116" customWidth="1"/>
    <col min="7696" max="7696" width="21.7109375" style="116" customWidth="1"/>
    <col min="7697" max="7697" width="15.85546875" style="116" customWidth="1"/>
    <col min="7698" max="7698" width="16.85546875" style="116" customWidth="1"/>
    <col min="7699" max="7699" width="24.140625" style="116" bestFit="1" customWidth="1"/>
    <col min="7700" max="7702" width="9.140625" style="116"/>
    <col min="7703" max="7703" width="15.28515625" style="116" customWidth="1"/>
    <col min="7704" max="7704" width="13.28515625" style="116" customWidth="1"/>
    <col min="7705" max="7705" width="56.42578125" style="116" bestFit="1" customWidth="1"/>
    <col min="7706" max="7946" width="9.140625" style="116"/>
    <col min="7947" max="7947" width="10.5703125" style="116" bestFit="1" customWidth="1"/>
    <col min="7948" max="7949" width="10.5703125" style="116" customWidth="1"/>
    <col min="7950" max="7950" width="13.5703125" style="116" customWidth="1"/>
    <col min="7951" max="7951" width="11.5703125" style="116" customWidth="1"/>
    <col min="7952" max="7952" width="21.7109375" style="116" customWidth="1"/>
    <col min="7953" max="7953" width="15.85546875" style="116" customWidth="1"/>
    <col min="7954" max="7954" width="16.85546875" style="116" customWidth="1"/>
    <col min="7955" max="7955" width="24.140625" style="116" bestFit="1" customWidth="1"/>
    <col min="7956" max="7958" width="9.140625" style="116"/>
    <col min="7959" max="7959" width="15.28515625" style="116" customWidth="1"/>
    <col min="7960" max="7960" width="13.28515625" style="116" customWidth="1"/>
    <col min="7961" max="7961" width="56.42578125" style="116" bestFit="1" customWidth="1"/>
    <col min="7962" max="8202" width="9.140625" style="116"/>
    <col min="8203" max="8203" width="10.5703125" style="116" bestFit="1" customWidth="1"/>
    <col min="8204" max="8205" width="10.5703125" style="116" customWidth="1"/>
    <col min="8206" max="8206" width="13.5703125" style="116" customWidth="1"/>
    <col min="8207" max="8207" width="11.5703125" style="116" customWidth="1"/>
    <col min="8208" max="8208" width="21.7109375" style="116" customWidth="1"/>
    <col min="8209" max="8209" width="15.85546875" style="116" customWidth="1"/>
    <col min="8210" max="8210" width="16.85546875" style="116" customWidth="1"/>
    <col min="8211" max="8211" width="24.140625" style="116" bestFit="1" customWidth="1"/>
    <col min="8212" max="8214" width="9.140625" style="116"/>
    <col min="8215" max="8215" width="15.28515625" style="116" customWidth="1"/>
    <col min="8216" max="8216" width="13.28515625" style="116" customWidth="1"/>
    <col min="8217" max="8217" width="56.42578125" style="116" bestFit="1" customWidth="1"/>
    <col min="8218" max="8458" width="9.140625" style="116"/>
    <col min="8459" max="8459" width="10.5703125" style="116" bestFit="1" customWidth="1"/>
    <col min="8460" max="8461" width="10.5703125" style="116" customWidth="1"/>
    <col min="8462" max="8462" width="13.5703125" style="116" customWidth="1"/>
    <col min="8463" max="8463" width="11.5703125" style="116" customWidth="1"/>
    <col min="8464" max="8464" width="21.7109375" style="116" customWidth="1"/>
    <col min="8465" max="8465" width="15.85546875" style="116" customWidth="1"/>
    <col min="8466" max="8466" width="16.85546875" style="116" customWidth="1"/>
    <col min="8467" max="8467" width="24.140625" style="116" bestFit="1" customWidth="1"/>
    <col min="8468" max="8470" width="9.140625" style="116"/>
    <col min="8471" max="8471" width="15.28515625" style="116" customWidth="1"/>
    <col min="8472" max="8472" width="13.28515625" style="116" customWidth="1"/>
    <col min="8473" max="8473" width="56.42578125" style="116" bestFit="1" customWidth="1"/>
    <col min="8474" max="8714" width="9.140625" style="116"/>
    <col min="8715" max="8715" width="10.5703125" style="116" bestFit="1" customWidth="1"/>
    <col min="8716" max="8717" width="10.5703125" style="116" customWidth="1"/>
    <col min="8718" max="8718" width="13.5703125" style="116" customWidth="1"/>
    <col min="8719" max="8719" width="11.5703125" style="116" customWidth="1"/>
    <col min="8720" max="8720" width="21.7109375" style="116" customWidth="1"/>
    <col min="8721" max="8721" width="15.85546875" style="116" customWidth="1"/>
    <col min="8722" max="8722" width="16.85546875" style="116" customWidth="1"/>
    <col min="8723" max="8723" width="24.140625" style="116" bestFit="1" customWidth="1"/>
    <col min="8724" max="8726" width="9.140625" style="116"/>
    <col min="8727" max="8727" width="15.28515625" style="116" customWidth="1"/>
    <col min="8728" max="8728" width="13.28515625" style="116" customWidth="1"/>
    <col min="8729" max="8729" width="56.42578125" style="116" bestFit="1" customWidth="1"/>
    <col min="8730" max="8970" width="9.140625" style="116"/>
    <col min="8971" max="8971" width="10.5703125" style="116" bestFit="1" customWidth="1"/>
    <col min="8972" max="8973" width="10.5703125" style="116" customWidth="1"/>
    <col min="8974" max="8974" width="13.5703125" style="116" customWidth="1"/>
    <col min="8975" max="8975" width="11.5703125" style="116" customWidth="1"/>
    <col min="8976" max="8976" width="21.7109375" style="116" customWidth="1"/>
    <col min="8977" max="8977" width="15.85546875" style="116" customWidth="1"/>
    <col min="8978" max="8978" width="16.85546875" style="116" customWidth="1"/>
    <col min="8979" max="8979" width="24.140625" style="116" bestFit="1" customWidth="1"/>
    <col min="8980" max="8982" width="9.140625" style="116"/>
    <col min="8983" max="8983" width="15.28515625" style="116" customWidth="1"/>
    <col min="8984" max="8984" width="13.28515625" style="116" customWidth="1"/>
    <col min="8985" max="8985" width="56.42578125" style="116" bestFit="1" customWidth="1"/>
    <col min="8986" max="9226" width="9.140625" style="116"/>
    <col min="9227" max="9227" width="10.5703125" style="116" bestFit="1" customWidth="1"/>
    <col min="9228" max="9229" width="10.5703125" style="116" customWidth="1"/>
    <col min="9230" max="9230" width="13.5703125" style="116" customWidth="1"/>
    <col min="9231" max="9231" width="11.5703125" style="116" customWidth="1"/>
    <col min="9232" max="9232" width="21.7109375" style="116" customWidth="1"/>
    <col min="9233" max="9233" width="15.85546875" style="116" customWidth="1"/>
    <col min="9234" max="9234" width="16.85546875" style="116" customWidth="1"/>
    <col min="9235" max="9235" width="24.140625" style="116" bestFit="1" customWidth="1"/>
    <col min="9236" max="9238" width="9.140625" style="116"/>
    <col min="9239" max="9239" width="15.28515625" style="116" customWidth="1"/>
    <col min="9240" max="9240" width="13.28515625" style="116" customWidth="1"/>
    <col min="9241" max="9241" width="56.42578125" style="116" bestFit="1" customWidth="1"/>
    <col min="9242" max="9482" width="9.140625" style="116"/>
    <col min="9483" max="9483" width="10.5703125" style="116" bestFit="1" customWidth="1"/>
    <col min="9484" max="9485" width="10.5703125" style="116" customWidth="1"/>
    <col min="9486" max="9486" width="13.5703125" style="116" customWidth="1"/>
    <col min="9487" max="9487" width="11.5703125" style="116" customWidth="1"/>
    <col min="9488" max="9488" width="21.7109375" style="116" customWidth="1"/>
    <col min="9489" max="9489" width="15.85546875" style="116" customWidth="1"/>
    <col min="9490" max="9490" width="16.85546875" style="116" customWidth="1"/>
    <col min="9491" max="9491" width="24.140625" style="116" bestFit="1" customWidth="1"/>
    <col min="9492" max="9494" width="9.140625" style="116"/>
    <col min="9495" max="9495" width="15.28515625" style="116" customWidth="1"/>
    <col min="9496" max="9496" width="13.28515625" style="116" customWidth="1"/>
    <col min="9497" max="9497" width="56.42578125" style="116" bestFit="1" customWidth="1"/>
    <col min="9498" max="9738" width="9.140625" style="116"/>
    <col min="9739" max="9739" width="10.5703125" style="116" bestFit="1" customWidth="1"/>
    <col min="9740" max="9741" width="10.5703125" style="116" customWidth="1"/>
    <col min="9742" max="9742" width="13.5703125" style="116" customWidth="1"/>
    <col min="9743" max="9743" width="11.5703125" style="116" customWidth="1"/>
    <col min="9744" max="9744" width="21.7109375" style="116" customWidth="1"/>
    <col min="9745" max="9745" width="15.85546875" style="116" customWidth="1"/>
    <col min="9746" max="9746" width="16.85546875" style="116" customWidth="1"/>
    <col min="9747" max="9747" width="24.140625" style="116" bestFit="1" customWidth="1"/>
    <col min="9748" max="9750" width="9.140625" style="116"/>
    <col min="9751" max="9751" width="15.28515625" style="116" customWidth="1"/>
    <col min="9752" max="9752" width="13.28515625" style="116" customWidth="1"/>
    <col min="9753" max="9753" width="56.42578125" style="116" bestFit="1" customWidth="1"/>
    <col min="9754" max="9994" width="9.140625" style="116"/>
    <col min="9995" max="9995" width="10.5703125" style="116" bestFit="1" customWidth="1"/>
    <col min="9996" max="9997" width="10.5703125" style="116" customWidth="1"/>
    <col min="9998" max="9998" width="13.5703125" style="116" customWidth="1"/>
    <col min="9999" max="9999" width="11.5703125" style="116" customWidth="1"/>
    <col min="10000" max="10000" width="21.7109375" style="116" customWidth="1"/>
    <col min="10001" max="10001" width="15.85546875" style="116" customWidth="1"/>
    <col min="10002" max="10002" width="16.85546875" style="116" customWidth="1"/>
    <col min="10003" max="10003" width="24.140625" style="116" bestFit="1" customWidth="1"/>
    <col min="10004" max="10006" width="9.140625" style="116"/>
    <col min="10007" max="10007" width="15.28515625" style="116" customWidth="1"/>
    <col min="10008" max="10008" width="13.28515625" style="116" customWidth="1"/>
    <col min="10009" max="10009" width="56.42578125" style="116" bestFit="1" customWidth="1"/>
    <col min="10010" max="10250" width="9.140625" style="116"/>
    <col min="10251" max="10251" width="10.5703125" style="116" bestFit="1" customWidth="1"/>
    <col min="10252" max="10253" width="10.5703125" style="116" customWidth="1"/>
    <col min="10254" max="10254" width="13.5703125" style="116" customWidth="1"/>
    <col min="10255" max="10255" width="11.5703125" style="116" customWidth="1"/>
    <col min="10256" max="10256" width="21.7109375" style="116" customWidth="1"/>
    <col min="10257" max="10257" width="15.85546875" style="116" customWidth="1"/>
    <col min="10258" max="10258" width="16.85546875" style="116" customWidth="1"/>
    <col min="10259" max="10259" width="24.140625" style="116" bestFit="1" customWidth="1"/>
    <col min="10260" max="10262" width="9.140625" style="116"/>
    <col min="10263" max="10263" width="15.28515625" style="116" customWidth="1"/>
    <col min="10264" max="10264" width="13.28515625" style="116" customWidth="1"/>
    <col min="10265" max="10265" width="56.42578125" style="116" bestFit="1" customWidth="1"/>
    <col min="10266" max="10506" width="9.140625" style="116"/>
    <col min="10507" max="10507" width="10.5703125" style="116" bestFit="1" customWidth="1"/>
    <col min="10508" max="10509" width="10.5703125" style="116" customWidth="1"/>
    <col min="10510" max="10510" width="13.5703125" style="116" customWidth="1"/>
    <col min="10511" max="10511" width="11.5703125" style="116" customWidth="1"/>
    <col min="10512" max="10512" width="21.7109375" style="116" customWidth="1"/>
    <col min="10513" max="10513" width="15.85546875" style="116" customWidth="1"/>
    <col min="10514" max="10514" width="16.85546875" style="116" customWidth="1"/>
    <col min="10515" max="10515" width="24.140625" style="116" bestFit="1" customWidth="1"/>
    <col min="10516" max="10518" width="9.140625" style="116"/>
    <col min="10519" max="10519" width="15.28515625" style="116" customWidth="1"/>
    <col min="10520" max="10520" width="13.28515625" style="116" customWidth="1"/>
    <col min="10521" max="10521" width="56.42578125" style="116" bestFit="1" customWidth="1"/>
    <col min="10522" max="10762" width="9.140625" style="116"/>
    <col min="10763" max="10763" width="10.5703125" style="116" bestFit="1" customWidth="1"/>
    <col min="10764" max="10765" width="10.5703125" style="116" customWidth="1"/>
    <col min="10766" max="10766" width="13.5703125" style="116" customWidth="1"/>
    <col min="10767" max="10767" width="11.5703125" style="116" customWidth="1"/>
    <col min="10768" max="10768" width="21.7109375" style="116" customWidth="1"/>
    <col min="10769" max="10769" width="15.85546875" style="116" customWidth="1"/>
    <col min="10770" max="10770" width="16.85546875" style="116" customWidth="1"/>
    <col min="10771" max="10771" width="24.140625" style="116" bestFit="1" customWidth="1"/>
    <col min="10772" max="10774" width="9.140625" style="116"/>
    <col min="10775" max="10775" width="15.28515625" style="116" customWidth="1"/>
    <col min="10776" max="10776" width="13.28515625" style="116" customWidth="1"/>
    <col min="10777" max="10777" width="56.42578125" style="116" bestFit="1" customWidth="1"/>
    <col min="10778" max="11018" width="9.140625" style="116"/>
    <col min="11019" max="11019" width="10.5703125" style="116" bestFit="1" customWidth="1"/>
    <col min="11020" max="11021" width="10.5703125" style="116" customWidth="1"/>
    <col min="11022" max="11022" width="13.5703125" style="116" customWidth="1"/>
    <col min="11023" max="11023" width="11.5703125" style="116" customWidth="1"/>
    <col min="11024" max="11024" width="21.7109375" style="116" customWidth="1"/>
    <col min="11025" max="11025" width="15.85546875" style="116" customWidth="1"/>
    <col min="11026" max="11026" width="16.85546875" style="116" customWidth="1"/>
    <col min="11027" max="11027" width="24.140625" style="116" bestFit="1" customWidth="1"/>
    <col min="11028" max="11030" width="9.140625" style="116"/>
    <col min="11031" max="11031" width="15.28515625" style="116" customWidth="1"/>
    <col min="11032" max="11032" width="13.28515625" style="116" customWidth="1"/>
    <col min="11033" max="11033" width="56.42578125" style="116" bestFit="1" customWidth="1"/>
    <col min="11034" max="11274" width="9.140625" style="116"/>
    <col min="11275" max="11275" width="10.5703125" style="116" bestFit="1" customWidth="1"/>
    <col min="11276" max="11277" width="10.5703125" style="116" customWidth="1"/>
    <col min="11278" max="11278" width="13.5703125" style="116" customWidth="1"/>
    <col min="11279" max="11279" width="11.5703125" style="116" customWidth="1"/>
    <col min="11280" max="11280" width="21.7109375" style="116" customWidth="1"/>
    <col min="11281" max="11281" width="15.85546875" style="116" customWidth="1"/>
    <col min="11282" max="11282" width="16.85546875" style="116" customWidth="1"/>
    <col min="11283" max="11283" width="24.140625" style="116" bestFit="1" customWidth="1"/>
    <col min="11284" max="11286" width="9.140625" style="116"/>
    <col min="11287" max="11287" width="15.28515625" style="116" customWidth="1"/>
    <col min="11288" max="11288" width="13.28515625" style="116" customWidth="1"/>
    <col min="11289" max="11289" width="56.42578125" style="116" bestFit="1" customWidth="1"/>
    <col min="11290" max="11530" width="9.140625" style="116"/>
    <col min="11531" max="11531" width="10.5703125" style="116" bestFit="1" customWidth="1"/>
    <col min="11532" max="11533" width="10.5703125" style="116" customWidth="1"/>
    <col min="11534" max="11534" width="13.5703125" style="116" customWidth="1"/>
    <col min="11535" max="11535" width="11.5703125" style="116" customWidth="1"/>
    <col min="11536" max="11536" width="21.7109375" style="116" customWidth="1"/>
    <col min="11537" max="11537" width="15.85546875" style="116" customWidth="1"/>
    <col min="11538" max="11538" width="16.85546875" style="116" customWidth="1"/>
    <col min="11539" max="11539" width="24.140625" style="116" bestFit="1" customWidth="1"/>
    <col min="11540" max="11542" width="9.140625" style="116"/>
    <col min="11543" max="11543" width="15.28515625" style="116" customWidth="1"/>
    <col min="11544" max="11544" width="13.28515625" style="116" customWidth="1"/>
    <col min="11545" max="11545" width="56.42578125" style="116" bestFit="1" customWidth="1"/>
    <col min="11546" max="11786" width="9.140625" style="116"/>
    <col min="11787" max="11787" width="10.5703125" style="116" bestFit="1" customWidth="1"/>
    <col min="11788" max="11789" width="10.5703125" style="116" customWidth="1"/>
    <col min="11790" max="11790" width="13.5703125" style="116" customWidth="1"/>
    <col min="11791" max="11791" width="11.5703125" style="116" customWidth="1"/>
    <col min="11792" max="11792" width="21.7109375" style="116" customWidth="1"/>
    <col min="11793" max="11793" width="15.85546875" style="116" customWidth="1"/>
    <col min="11794" max="11794" width="16.85546875" style="116" customWidth="1"/>
    <col min="11795" max="11795" width="24.140625" style="116" bestFit="1" customWidth="1"/>
    <col min="11796" max="11798" width="9.140625" style="116"/>
    <col min="11799" max="11799" width="15.28515625" style="116" customWidth="1"/>
    <col min="11800" max="11800" width="13.28515625" style="116" customWidth="1"/>
    <col min="11801" max="11801" width="56.42578125" style="116" bestFit="1" customWidth="1"/>
    <col min="11802" max="12042" width="9.140625" style="116"/>
    <col min="12043" max="12043" width="10.5703125" style="116" bestFit="1" customWidth="1"/>
    <col min="12044" max="12045" width="10.5703125" style="116" customWidth="1"/>
    <col min="12046" max="12046" width="13.5703125" style="116" customWidth="1"/>
    <col min="12047" max="12047" width="11.5703125" style="116" customWidth="1"/>
    <col min="12048" max="12048" width="21.7109375" style="116" customWidth="1"/>
    <col min="12049" max="12049" width="15.85546875" style="116" customWidth="1"/>
    <col min="12050" max="12050" width="16.85546875" style="116" customWidth="1"/>
    <col min="12051" max="12051" width="24.140625" style="116" bestFit="1" customWidth="1"/>
    <col min="12052" max="12054" width="9.140625" style="116"/>
    <col min="12055" max="12055" width="15.28515625" style="116" customWidth="1"/>
    <col min="12056" max="12056" width="13.28515625" style="116" customWidth="1"/>
    <col min="12057" max="12057" width="56.42578125" style="116" bestFit="1" customWidth="1"/>
    <col min="12058" max="12298" width="9.140625" style="116"/>
    <col min="12299" max="12299" width="10.5703125" style="116" bestFit="1" customWidth="1"/>
    <col min="12300" max="12301" width="10.5703125" style="116" customWidth="1"/>
    <col min="12302" max="12302" width="13.5703125" style="116" customWidth="1"/>
    <col min="12303" max="12303" width="11.5703125" style="116" customWidth="1"/>
    <col min="12304" max="12304" width="21.7109375" style="116" customWidth="1"/>
    <col min="12305" max="12305" width="15.85546875" style="116" customWidth="1"/>
    <col min="12306" max="12306" width="16.85546875" style="116" customWidth="1"/>
    <col min="12307" max="12307" width="24.140625" style="116" bestFit="1" customWidth="1"/>
    <col min="12308" max="12310" width="9.140625" style="116"/>
    <col min="12311" max="12311" width="15.28515625" style="116" customWidth="1"/>
    <col min="12312" max="12312" width="13.28515625" style="116" customWidth="1"/>
    <col min="12313" max="12313" width="56.42578125" style="116" bestFit="1" customWidth="1"/>
    <col min="12314" max="12554" width="9.140625" style="116"/>
    <col min="12555" max="12555" width="10.5703125" style="116" bestFit="1" customWidth="1"/>
    <col min="12556" max="12557" width="10.5703125" style="116" customWidth="1"/>
    <col min="12558" max="12558" width="13.5703125" style="116" customWidth="1"/>
    <col min="12559" max="12559" width="11.5703125" style="116" customWidth="1"/>
    <col min="12560" max="12560" width="21.7109375" style="116" customWidth="1"/>
    <col min="12561" max="12561" width="15.85546875" style="116" customWidth="1"/>
    <col min="12562" max="12562" width="16.85546875" style="116" customWidth="1"/>
    <col min="12563" max="12563" width="24.140625" style="116" bestFit="1" customWidth="1"/>
    <col min="12564" max="12566" width="9.140625" style="116"/>
    <col min="12567" max="12567" width="15.28515625" style="116" customWidth="1"/>
    <col min="12568" max="12568" width="13.28515625" style="116" customWidth="1"/>
    <col min="12569" max="12569" width="56.42578125" style="116" bestFit="1" customWidth="1"/>
    <col min="12570" max="12810" width="9.140625" style="116"/>
    <col min="12811" max="12811" width="10.5703125" style="116" bestFit="1" customWidth="1"/>
    <col min="12812" max="12813" width="10.5703125" style="116" customWidth="1"/>
    <col min="12814" max="12814" width="13.5703125" style="116" customWidth="1"/>
    <col min="12815" max="12815" width="11.5703125" style="116" customWidth="1"/>
    <col min="12816" max="12816" width="21.7109375" style="116" customWidth="1"/>
    <col min="12817" max="12817" width="15.85546875" style="116" customWidth="1"/>
    <col min="12818" max="12818" width="16.85546875" style="116" customWidth="1"/>
    <col min="12819" max="12819" width="24.140625" style="116" bestFit="1" customWidth="1"/>
    <col min="12820" max="12822" width="9.140625" style="116"/>
    <col min="12823" max="12823" width="15.28515625" style="116" customWidth="1"/>
    <col min="12824" max="12824" width="13.28515625" style="116" customWidth="1"/>
    <col min="12825" max="12825" width="56.42578125" style="116" bestFit="1" customWidth="1"/>
    <col min="12826" max="13066" width="9.140625" style="116"/>
    <col min="13067" max="13067" width="10.5703125" style="116" bestFit="1" customWidth="1"/>
    <col min="13068" max="13069" width="10.5703125" style="116" customWidth="1"/>
    <col min="13070" max="13070" width="13.5703125" style="116" customWidth="1"/>
    <col min="13071" max="13071" width="11.5703125" style="116" customWidth="1"/>
    <col min="13072" max="13072" width="21.7109375" style="116" customWidth="1"/>
    <col min="13073" max="13073" width="15.85546875" style="116" customWidth="1"/>
    <col min="13074" max="13074" width="16.85546875" style="116" customWidth="1"/>
    <col min="13075" max="13075" width="24.140625" style="116" bestFit="1" customWidth="1"/>
    <col min="13076" max="13078" width="9.140625" style="116"/>
    <col min="13079" max="13079" width="15.28515625" style="116" customWidth="1"/>
    <col min="13080" max="13080" width="13.28515625" style="116" customWidth="1"/>
    <col min="13081" max="13081" width="56.42578125" style="116" bestFit="1" customWidth="1"/>
    <col min="13082" max="13322" width="9.140625" style="116"/>
    <col min="13323" max="13323" width="10.5703125" style="116" bestFit="1" customWidth="1"/>
    <col min="13324" max="13325" width="10.5703125" style="116" customWidth="1"/>
    <col min="13326" max="13326" width="13.5703125" style="116" customWidth="1"/>
    <col min="13327" max="13327" width="11.5703125" style="116" customWidth="1"/>
    <col min="13328" max="13328" width="21.7109375" style="116" customWidth="1"/>
    <col min="13329" max="13329" width="15.85546875" style="116" customWidth="1"/>
    <col min="13330" max="13330" width="16.85546875" style="116" customWidth="1"/>
    <col min="13331" max="13331" width="24.140625" style="116" bestFit="1" customWidth="1"/>
    <col min="13332" max="13334" width="9.140625" style="116"/>
    <col min="13335" max="13335" width="15.28515625" style="116" customWidth="1"/>
    <col min="13336" max="13336" width="13.28515625" style="116" customWidth="1"/>
    <col min="13337" max="13337" width="56.42578125" style="116" bestFit="1" customWidth="1"/>
    <col min="13338" max="13578" width="9.140625" style="116"/>
    <col min="13579" max="13579" width="10.5703125" style="116" bestFit="1" customWidth="1"/>
    <col min="13580" max="13581" width="10.5703125" style="116" customWidth="1"/>
    <col min="13582" max="13582" width="13.5703125" style="116" customWidth="1"/>
    <col min="13583" max="13583" width="11.5703125" style="116" customWidth="1"/>
    <col min="13584" max="13584" width="21.7109375" style="116" customWidth="1"/>
    <col min="13585" max="13585" width="15.85546875" style="116" customWidth="1"/>
    <col min="13586" max="13586" width="16.85546875" style="116" customWidth="1"/>
    <col min="13587" max="13587" width="24.140625" style="116" bestFit="1" customWidth="1"/>
    <col min="13588" max="13590" width="9.140625" style="116"/>
    <col min="13591" max="13591" width="15.28515625" style="116" customWidth="1"/>
    <col min="13592" max="13592" width="13.28515625" style="116" customWidth="1"/>
    <col min="13593" max="13593" width="56.42578125" style="116" bestFit="1" customWidth="1"/>
    <col min="13594" max="13834" width="9.140625" style="116"/>
    <col min="13835" max="13835" width="10.5703125" style="116" bestFit="1" customWidth="1"/>
    <col min="13836" max="13837" width="10.5703125" style="116" customWidth="1"/>
    <col min="13838" max="13838" width="13.5703125" style="116" customWidth="1"/>
    <col min="13839" max="13839" width="11.5703125" style="116" customWidth="1"/>
    <col min="13840" max="13840" width="21.7109375" style="116" customWidth="1"/>
    <col min="13841" max="13841" width="15.85546875" style="116" customWidth="1"/>
    <col min="13842" max="13842" width="16.85546875" style="116" customWidth="1"/>
    <col min="13843" max="13843" width="24.140625" style="116" bestFit="1" customWidth="1"/>
    <col min="13844" max="13846" width="9.140625" style="116"/>
    <col min="13847" max="13847" width="15.28515625" style="116" customWidth="1"/>
    <col min="13848" max="13848" width="13.28515625" style="116" customWidth="1"/>
    <col min="13849" max="13849" width="56.42578125" style="116" bestFit="1" customWidth="1"/>
    <col min="13850" max="14090" width="9.140625" style="116"/>
    <col min="14091" max="14091" width="10.5703125" style="116" bestFit="1" customWidth="1"/>
    <col min="14092" max="14093" width="10.5703125" style="116" customWidth="1"/>
    <col min="14094" max="14094" width="13.5703125" style="116" customWidth="1"/>
    <col min="14095" max="14095" width="11.5703125" style="116" customWidth="1"/>
    <col min="14096" max="14096" width="21.7109375" style="116" customWidth="1"/>
    <col min="14097" max="14097" width="15.85546875" style="116" customWidth="1"/>
    <col min="14098" max="14098" width="16.85546875" style="116" customWidth="1"/>
    <col min="14099" max="14099" width="24.140625" style="116" bestFit="1" customWidth="1"/>
    <col min="14100" max="14102" width="9.140625" style="116"/>
    <col min="14103" max="14103" width="15.28515625" style="116" customWidth="1"/>
    <col min="14104" max="14104" width="13.28515625" style="116" customWidth="1"/>
    <col min="14105" max="14105" width="56.42578125" style="116" bestFit="1" customWidth="1"/>
    <col min="14106" max="14346" width="9.140625" style="116"/>
    <col min="14347" max="14347" width="10.5703125" style="116" bestFit="1" customWidth="1"/>
    <col min="14348" max="14349" width="10.5703125" style="116" customWidth="1"/>
    <col min="14350" max="14350" width="13.5703125" style="116" customWidth="1"/>
    <col min="14351" max="14351" width="11.5703125" style="116" customWidth="1"/>
    <col min="14352" max="14352" width="21.7109375" style="116" customWidth="1"/>
    <col min="14353" max="14353" width="15.85546875" style="116" customWidth="1"/>
    <col min="14354" max="14354" width="16.85546875" style="116" customWidth="1"/>
    <col min="14355" max="14355" width="24.140625" style="116" bestFit="1" customWidth="1"/>
    <col min="14356" max="14358" width="9.140625" style="116"/>
    <col min="14359" max="14359" width="15.28515625" style="116" customWidth="1"/>
    <col min="14360" max="14360" width="13.28515625" style="116" customWidth="1"/>
    <col min="14361" max="14361" width="56.42578125" style="116" bestFit="1" customWidth="1"/>
    <col min="14362" max="14602" width="9.140625" style="116"/>
    <col min="14603" max="14603" width="10.5703125" style="116" bestFit="1" customWidth="1"/>
    <col min="14604" max="14605" width="10.5703125" style="116" customWidth="1"/>
    <col min="14606" max="14606" width="13.5703125" style="116" customWidth="1"/>
    <col min="14607" max="14607" width="11.5703125" style="116" customWidth="1"/>
    <col min="14608" max="14608" width="21.7109375" style="116" customWidth="1"/>
    <col min="14609" max="14609" width="15.85546875" style="116" customWidth="1"/>
    <col min="14610" max="14610" width="16.85546875" style="116" customWidth="1"/>
    <col min="14611" max="14611" width="24.140625" style="116" bestFit="1" customWidth="1"/>
    <col min="14612" max="14614" width="9.140625" style="116"/>
    <col min="14615" max="14615" width="15.28515625" style="116" customWidth="1"/>
    <col min="14616" max="14616" width="13.28515625" style="116" customWidth="1"/>
    <col min="14617" max="14617" width="56.42578125" style="116" bestFit="1" customWidth="1"/>
    <col min="14618" max="14858" width="9.140625" style="116"/>
    <col min="14859" max="14859" width="10.5703125" style="116" bestFit="1" customWidth="1"/>
    <col min="14860" max="14861" width="10.5703125" style="116" customWidth="1"/>
    <col min="14862" max="14862" width="13.5703125" style="116" customWidth="1"/>
    <col min="14863" max="14863" width="11.5703125" style="116" customWidth="1"/>
    <col min="14864" max="14864" width="21.7109375" style="116" customWidth="1"/>
    <col min="14865" max="14865" width="15.85546875" style="116" customWidth="1"/>
    <col min="14866" max="14866" width="16.85546875" style="116" customWidth="1"/>
    <col min="14867" max="14867" width="24.140625" style="116" bestFit="1" customWidth="1"/>
    <col min="14868" max="14870" width="9.140625" style="116"/>
    <col min="14871" max="14871" width="15.28515625" style="116" customWidth="1"/>
    <col min="14872" max="14872" width="13.28515625" style="116" customWidth="1"/>
    <col min="14873" max="14873" width="56.42578125" style="116" bestFit="1" customWidth="1"/>
    <col min="14874" max="15114" width="9.140625" style="116"/>
    <col min="15115" max="15115" width="10.5703125" style="116" bestFit="1" customWidth="1"/>
    <col min="15116" max="15117" width="10.5703125" style="116" customWidth="1"/>
    <col min="15118" max="15118" width="13.5703125" style="116" customWidth="1"/>
    <col min="15119" max="15119" width="11.5703125" style="116" customWidth="1"/>
    <col min="15120" max="15120" width="21.7109375" style="116" customWidth="1"/>
    <col min="15121" max="15121" width="15.85546875" style="116" customWidth="1"/>
    <col min="15122" max="15122" width="16.85546875" style="116" customWidth="1"/>
    <col min="15123" max="15123" width="24.140625" style="116" bestFit="1" customWidth="1"/>
    <col min="15124" max="15126" width="9.140625" style="116"/>
    <col min="15127" max="15127" width="15.28515625" style="116" customWidth="1"/>
    <col min="15128" max="15128" width="13.28515625" style="116" customWidth="1"/>
    <col min="15129" max="15129" width="56.42578125" style="116" bestFit="1" customWidth="1"/>
    <col min="15130" max="15370" width="9.140625" style="116"/>
    <col min="15371" max="15371" width="10.5703125" style="116" bestFit="1" customWidth="1"/>
    <col min="15372" max="15373" width="10.5703125" style="116" customWidth="1"/>
    <col min="15374" max="15374" width="13.5703125" style="116" customWidth="1"/>
    <col min="15375" max="15375" width="11.5703125" style="116" customWidth="1"/>
    <col min="15376" max="15376" width="21.7109375" style="116" customWidth="1"/>
    <col min="15377" max="15377" width="15.85546875" style="116" customWidth="1"/>
    <col min="15378" max="15378" width="16.85546875" style="116" customWidth="1"/>
    <col min="15379" max="15379" width="24.140625" style="116" bestFit="1" customWidth="1"/>
    <col min="15380" max="15382" width="9.140625" style="116"/>
    <col min="15383" max="15383" width="15.28515625" style="116" customWidth="1"/>
    <col min="15384" max="15384" width="13.28515625" style="116" customWidth="1"/>
    <col min="15385" max="15385" width="56.42578125" style="116" bestFit="1" customWidth="1"/>
    <col min="15386" max="15626" width="9.140625" style="116"/>
    <col min="15627" max="15627" width="10.5703125" style="116" bestFit="1" customWidth="1"/>
    <col min="15628" max="15629" width="10.5703125" style="116" customWidth="1"/>
    <col min="15630" max="15630" width="13.5703125" style="116" customWidth="1"/>
    <col min="15631" max="15631" width="11.5703125" style="116" customWidth="1"/>
    <col min="15632" max="15632" width="21.7109375" style="116" customWidth="1"/>
    <col min="15633" max="15633" width="15.85546875" style="116" customWidth="1"/>
    <col min="15634" max="15634" width="16.85546875" style="116" customWidth="1"/>
    <col min="15635" max="15635" width="24.140625" style="116" bestFit="1" customWidth="1"/>
    <col min="15636" max="15638" width="9.140625" style="116"/>
    <col min="15639" max="15639" width="15.28515625" style="116" customWidth="1"/>
    <col min="15640" max="15640" width="13.28515625" style="116" customWidth="1"/>
    <col min="15641" max="15641" width="56.42578125" style="116" bestFit="1" customWidth="1"/>
    <col min="15642" max="15882" width="9.140625" style="116"/>
    <col min="15883" max="15883" width="10.5703125" style="116" bestFit="1" customWidth="1"/>
    <col min="15884" max="15885" width="10.5703125" style="116" customWidth="1"/>
    <col min="15886" max="15886" width="13.5703125" style="116" customWidth="1"/>
    <col min="15887" max="15887" width="11.5703125" style="116" customWidth="1"/>
    <col min="15888" max="15888" width="21.7109375" style="116" customWidth="1"/>
    <col min="15889" max="15889" width="15.85546875" style="116" customWidth="1"/>
    <col min="15890" max="15890" width="16.85546875" style="116" customWidth="1"/>
    <col min="15891" max="15891" width="24.140625" style="116" bestFit="1" customWidth="1"/>
    <col min="15892" max="15894" width="9.140625" style="116"/>
    <col min="15895" max="15895" width="15.28515625" style="116" customWidth="1"/>
    <col min="15896" max="15896" width="13.28515625" style="116" customWidth="1"/>
    <col min="15897" max="15897" width="56.42578125" style="116" bestFit="1" customWidth="1"/>
    <col min="15898" max="16138" width="9.140625" style="116"/>
    <col min="16139" max="16139" width="10.5703125" style="116" bestFit="1" customWidth="1"/>
    <col min="16140" max="16141" width="10.5703125" style="116" customWidth="1"/>
    <col min="16142" max="16142" width="13.5703125" style="116" customWidth="1"/>
    <col min="16143" max="16143" width="11.5703125" style="116" customWidth="1"/>
    <col min="16144" max="16144" width="21.7109375" style="116" customWidth="1"/>
    <col min="16145" max="16145" width="15.85546875" style="116" customWidth="1"/>
    <col min="16146" max="16146" width="16.85546875" style="116" customWidth="1"/>
    <col min="16147" max="16147" width="24.140625" style="116" bestFit="1" customWidth="1"/>
    <col min="16148" max="16150" width="9.140625" style="116"/>
    <col min="16151" max="16151" width="15.28515625" style="116" customWidth="1"/>
    <col min="16152" max="16152" width="13.28515625" style="116" customWidth="1"/>
    <col min="16153" max="16153" width="56.42578125" style="116" bestFit="1" customWidth="1"/>
    <col min="16154" max="16384" width="9.140625" style="116"/>
  </cols>
  <sheetData>
    <row r="1" spans="2:39" x14ac:dyDescent="0.25">
      <c r="B1" s="130" t="s">
        <v>402</v>
      </c>
      <c r="L1" s="117" t="s">
        <v>237</v>
      </c>
      <c r="M1" s="117"/>
      <c r="N1" s="117"/>
      <c r="O1" s="117"/>
      <c r="P1" s="117">
        <v>15</v>
      </c>
    </row>
    <row r="2" spans="2:39" x14ac:dyDescent="0.25">
      <c r="L2" s="117" t="s">
        <v>238</v>
      </c>
      <c r="M2" s="117"/>
      <c r="N2" s="117"/>
      <c r="O2" s="117">
        <v>1</v>
      </c>
      <c r="P2" s="117" t="s">
        <v>239</v>
      </c>
      <c r="Q2" s="117"/>
      <c r="R2" s="117">
        <v>12</v>
      </c>
      <c r="S2" s="117" t="s">
        <v>240</v>
      </c>
    </row>
    <row r="6" spans="2:39" x14ac:dyDescent="0.25">
      <c r="B6" s="116" t="s">
        <v>165</v>
      </c>
      <c r="E6" s="116">
        <v>1250</v>
      </c>
    </row>
    <row r="11" spans="2:39" x14ac:dyDescent="0.25">
      <c r="B11" s="116" t="s">
        <v>82</v>
      </c>
    </row>
    <row r="12" spans="2:39" x14ac:dyDescent="0.25">
      <c r="B12" s="116" t="s">
        <v>83</v>
      </c>
      <c r="I12" s="120">
        <v>6</v>
      </c>
    </row>
    <row r="13" spans="2:39" x14ac:dyDescent="0.25">
      <c r="B13" s="116" t="s">
        <v>84</v>
      </c>
      <c r="I13" s="120">
        <v>12</v>
      </c>
    </row>
    <row r="14" spans="2:39" ht="153.75" x14ac:dyDescent="0.25">
      <c r="B14" s="116" t="s">
        <v>5</v>
      </c>
      <c r="I14" s="120">
        <v>12.600000000000001</v>
      </c>
      <c r="K14" s="118" t="s">
        <v>82</v>
      </c>
      <c r="L14" s="118" t="s">
        <v>83</v>
      </c>
      <c r="M14" s="118" t="s">
        <v>84</v>
      </c>
      <c r="N14" s="118" t="s">
        <v>5</v>
      </c>
      <c r="O14" s="118" t="s">
        <v>6</v>
      </c>
      <c r="P14" s="118">
        <v>0</v>
      </c>
      <c r="Q14" s="118">
        <v>0</v>
      </c>
      <c r="R14" s="118">
        <v>0</v>
      </c>
      <c r="S14" s="118">
        <v>0</v>
      </c>
      <c r="T14" s="118" t="s">
        <v>82</v>
      </c>
      <c r="U14" s="118" t="s">
        <v>83</v>
      </c>
      <c r="V14" s="118" t="s">
        <v>84</v>
      </c>
      <c r="W14" s="118">
        <v>0</v>
      </c>
      <c r="X14" s="118" t="s">
        <v>5</v>
      </c>
      <c r="Y14" s="118">
        <v>0</v>
      </c>
      <c r="Z14" s="118">
        <v>0</v>
      </c>
      <c r="AA14" s="118">
        <v>0</v>
      </c>
      <c r="AB14" s="118" t="s">
        <v>6</v>
      </c>
    </row>
    <row r="15" spans="2:39" x14ac:dyDescent="0.25">
      <c r="B15" s="116" t="s">
        <v>6</v>
      </c>
      <c r="I15" s="120">
        <v>10</v>
      </c>
      <c r="K15" s="119"/>
      <c r="L15" s="119" t="s">
        <v>92</v>
      </c>
      <c r="M15" s="119" t="s">
        <v>95</v>
      </c>
      <c r="N15" s="119" t="s">
        <v>8</v>
      </c>
      <c r="O15" s="119" t="s">
        <v>9</v>
      </c>
      <c r="P15" s="119">
        <v>0</v>
      </c>
      <c r="Q15" s="119">
        <v>0</v>
      </c>
      <c r="R15" s="119">
        <v>0</v>
      </c>
      <c r="S15" s="119">
        <v>0</v>
      </c>
      <c r="T15" s="119"/>
      <c r="U15" s="119" t="s">
        <v>85</v>
      </c>
      <c r="V15" s="119" t="s">
        <v>85</v>
      </c>
      <c r="W15" s="119">
        <v>0</v>
      </c>
      <c r="X15" s="119" t="s">
        <v>310</v>
      </c>
      <c r="Y15" s="119">
        <v>0</v>
      </c>
      <c r="Z15" s="119">
        <v>0</v>
      </c>
      <c r="AA15" s="119">
        <v>0</v>
      </c>
      <c r="AB15" s="119" t="s">
        <v>310</v>
      </c>
      <c r="AM15" s="116" t="s">
        <v>311</v>
      </c>
    </row>
    <row r="16" spans="2:39" x14ac:dyDescent="0.25">
      <c r="B16" s="116">
        <v>0</v>
      </c>
      <c r="I16" s="120">
        <v>0</v>
      </c>
      <c r="K16" s="119"/>
      <c r="L16" s="119" t="s">
        <v>91</v>
      </c>
      <c r="M16" s="119" t="s">
        <v>96</v>
      </c>
      <c r="N16" s="119" t="s">
        <v>89</v>
      </c>
      <c r="O16" s="119" t="s">
        <v>10</v>
      </c>
      <c r="P16" s="119">
        <v>0</v>
      </c>
      <c r="Q16" s="119">
        <v>0</v>
      </c>
      <c r="R16" s="119">
        <v>0</v>
      </c>
      <c r="S16" s="119">
        <v>0</v>
      </c>
      <c r="T16" s="119"/>
      <c r="U16" s="119" t="s">
        <v>86</v>
      </c>
      <c r="V16" s="119" t="s">
        <v>86</v>
      </c>
      <c r="W16" s="119">
        <v>0</v>
      </c>
      <c r="X16" s="119" t="s">
        <v>312</v>
      </c>
      <c r="Y16" s="119">
        <v>0</v>
      </c>
      <c r="Z16" s="119">
        <v>0</v>
      </c>
      <c r="AA16" s="119">
        <v>0</v>
      </c>
      <c r="AB16" s="119" t="s">
        <v>312</v>
      </c>
      <c r="AM16" s="116" t="s">
        <v>382</v>
      </c>
    </row>
    <row r="17" spans="2:39" x14ac:dyDescent="0.25">
      <c r="B17" s="116">
        <v>0</v>
      </c>
      <c r="I17" s="120">
        <v>0</v>
      </c>
      <c r="K17" s="119"/>
      <c r="L17" s="119" t="s">
        <v>93</v>
      </c>
      <c r="M17" s="119" t="s">
        <v>93</v>
      </c>
      <c r="N17" s="119" t="s">
        <v>90</v>
      </c>
      <c r="O17" s="119" t="s">
        <v>313</v>
      </c>
      <c r="P17" s="119"/>
      <c r="Q17" s="119">
        <v>0</v>
      </c>
      <c r="R17" s="119">
        <v>0</v>
      </c>
      <c r="S17" s="119"/>
      <c r="T17" s="119"/>
      <c r="U17" s="119" t="s">
        <v>87</v>
      </c>
      <c r="V17" s="119" t="s">
        <v>87</v>
      </c>
      <c r="W17" s="119">
        <v>0</v>
      </c>
      <c r="X17" s="119" t="s">
        <v>314</v>
      </c>
      <c r="Y17" s="119">
        <v>0</v>
      </c>
      <c r="Z17" s="119">
        <v>0</v>
      </c>
      <c r="AA17" s="119">
        <v>0</v>
      </c>
      <c r="AB17" s="119" t="s">
        <v>314</v>
      </c>
      <c r="AM17" s="116" t="s">
        <v>383</v>
      </c>
    </row>
    <row r="18" spans="2:39" x14ac:dyDescent="0.25">
      <c r="B18" s="116">
        <v>0</v>
      </c>
      <c r="I18" s="120">
        <v>0</v>
      </c>
      <c r="K18" s="119"/>
      <c r="L18" s="119" t="s">
        <v>94</v>
      </c>
      <c r="M18" s="119" t="s">
        <v>94</v>
      </c>
      <c r="N18" s="119">
        <v>0</v>
      </c>
      <c r="O18" s="119" t="s">
        <v>316</v>
      </c>
      <c r="P18" s="119"/>
      <c r="Q18" s="119">
        <v>0</v>
      </c>
      <c r="R18" s="119"/>
      <c r="S18" s="119"/>
      <c r="T18" s="119"/>
      <c r="U18" s="119" t="s">
        <v>11</v>
      </c>
      <c r="V18" s="119" t="s">
        <v>11</v>
      </c>
      <c r="W18" s="119">
        <v>0</v>
      </c>
      <c r="X18" s="119" t="s">
        <v>317</v>
      </c>
      <c r="Y18" s="119">
        <v>0</v>
      </c>
      <c r="Z18" s="119">
        <v>0</v>
      </c>
      <c r="AA18" s="119">
        <v>0</v>
      </c>
      <c r="AB18" s="119" t="s">
        <v>317</v>
      </c>
      <c r="AM18" s="116" t="s">
        <v>342</v>
      </c>
    </row>
    <row r="19" spans="2:39" x14ac:dyDescent="0.25">
      <c r="B19" s="116">
        <v>0</v>
      </c>
      <c r="I19" s="120">
        <v>0</v>
      </c>
      <c r="K19" s="119"/>
      <c r="L19" s="119"/>
      <c r="M19" s="119"/>
      <c r="N19" s="119"/>
      <c r="O19" s="119">
        <v>0</v>
      </c>
      <c r="P19" s="119"/>
      <c r="Q19" s="119"/>
      <c r="R19" s="119"/>
      <c r="S19" s="119"/>
      <c r="T19" s="119"/>
      <c r="U19" s="119" t="s">
        <v>88</v>
      </c>
      <c r="V19" s="119" t="s">
        <v>88</v>
      </c>
      <c r="W19" s="119">
        <v>0</v>
      </c>
      <c r="X19" s="119" t="s">
        <v>319</v>
      </c>
      <c r="Y19" s="119"/>
      <c r="Z19" s="119">
        <v>0</v>
      </c>
      <c r="AA19" s="119">
        <v>0</v>
      </c>
      <c r="AB19" s="119" t="s">
        <v>319</v>
      </c>
      <c r="AM19" s="116" t="s">
        <v>346</v>
      </c>
    </row>
    <row r="20" spans="2:39" x14ac:dyDescent="0.25">
      <c r="I20" s="120"/>
      <c r="K20" s="119"/>
      <c r="L20" s="119"/>
      <c r="M20" s="119"/>
      <c r="N20" s="119"/>
      <c r="O20" s="119">
        <v>0</v>
      </c>
      <c r="P20" s="119"/>
      <c r="Q20" s="119"/>
      <c r="R20" s="119"/>
      <c r="S20" s="119"/>
      <c r="T20" s="119"/>
      <c r="U20" s="119" t="s">
        <v>97</v>
      </c>
      <c r="V20" s="119" t="s">
        <v>97</v>
      </c>
      <c r="W20" s="119">
        <v>0</v>
      </c>
      <c r="X20" s="119">
        <v>0</v>
      </c>
      <c r="Y20" s="119"/>
      <c r="Z20" s="119">
        <v>0</v>
      </c>
      <c r="AA20" s="119">
        <v>0</v>
      </c>
      <c r="AB20" s="119">
        <v>0</v>
      </c>
      <c r="AM20" s="116" t="s">
        <v>380</v>
      </c>
    </row>
    <row r="21" spans="2:39" x14ac:dyDescent="0.25">
      <c r="I21" s="120"/>
      <c r="K21" s="119"/>
      <c r="L21" s="119"/>
      <c r="M21" s="119"/>
      <c r="N21" s="119"/>
      <c r="O21" s="119">
        <v>0</v>
      </c>
      <c r="P21" s="119"/>
      <c r="Q21" s="119"/>
      <c r="R21" s="119"/>
      <c r="S21" s="119"/>
      <c r="T21" s="119"/>
      <c r="U21" s="119" t="s">
        <v>321</v>
      </c>
      <c r="V21" s="119" t="s">
        <v>321</v>
      </c>
      <c r="W21" s="119">
        <v>0</v>
      </c>
      <c r="X21" s="119" t="s">
        <v>322</v>
      </c>
      <c r="Y21" s="119"/>
      <c r="Z21" s="119">
        <v>0</v>
      </c>
      <c r="AA21" s="119">
        <v>0</v>
      </c>
      <c r="AB21" s="119" t="s">
        <v>323</v>
      </c>
      <c r="AM21" s="116" t="s">
        <v>381</v>
      </c>
    </row>
    <row r="22" spans="2:39" x14ac:dyDescent="0.25">
      <c r="K22" s="119"/>
      <c r="L22" s="119"/>
      <c r="M22" s="119" t="s">
        <v>325</v>
      </c>
      <c r="N22" s="119"/>
      <c r="O22" s="119"/>
      <c r="P22" s="119"/>
      <c r="Q22" s="119"/>
      <c r="R22" s="119"/>
      <c r="S22" s="119"/>
      <c r="T22" s="119"/>
      <c r="U22" s="119" t="s">
        <v>287</v>
      </c>
      <c r="V22" s="119" t="s">
        <v>287</v>
      </c>
      <c r="W22" s="119">
        <v>0</v>
      </c>
      <c r="X22" s="119" t="s">
        <v>326</v>
      </c>
      <c r="Y22" s="119"/>
      <c r="Z22" s="119">
        <v>0</v>
      </c>
      <c r="AA22" s="119">
        <v>0</v>
      </c>
      <c r="AB22" s="119" t="s">
        <v>286</v>
      </c>
      <c r="AM22" s="116" t="s">
        <v>315</v>
      </c>
    </row>
    <row r="23" spans="2:39" x14ac:dyDescent="0.25">
      <c r="B23" s="116" t="s">
        <v>288</v>
      </c>
      <c r="I23" s="120">
        <v>0</v>
      </c>
      <c r="K23" s="119"/>
      <c r="L23" s="119"/>
      <c r="M23" s="119" t="s">
        <v>328</v>
      </c>
      <c r="N23" s="119"/>
      <c r="O23" s="119"/>
      <c r="P23" s="119"/>
      <c r="Q23" s="119"/>
      <c r="R23" s="119"/>
      <c r="S23" s="119"/>
      <c r="T23" s="119"/>
      <c r="U23" s="119" t="s">
        <v>6</v>
      </c>
      <c r="V23" s="119" t="s">
        <v>6</v>
      </c>
      <c r="W23" s="119">
        <v>0</v>
      </c>
      <c r="X23" s="119" t="s">
        <v>329</v>
      </c>
      <c r="Y23" s="119"/>
      <c r="Z23" s="119">
        <v>0</v>
      </c>
      <c r="AA23" s="119">
        <v>0</v>
      </c>
      <c r="AB23" s="119" t="s">
        <v>12</v>
      </c>
      <c r="AM23" s="116" t="s">
        <v>318</v>
      </c>
    </row>
    <row r="24" spans="2:39" x14ac:dyDescent="0.25">
      <c r="B24" s="116" t="s">
        <v>22</v>
      </c>
      <c r="I24" s="120">
        <v>3.5</v>
      </c>
      <c r="K24" s="119"/>
      <c r="L24" s="119"/>
      <c r="M24" s="119" t="s">
        <v>331</v>
      </c>
      <c r="N24" s="119"/>
      <c r="O24" s="119"/>
      <c r="P24" s="119"/>
      <c r="Q24" s="119"/>
      <c r="R24" s="119"/>
      <c r="S24" s="119"/>
      <c r="T24" s="119"/>
      <c r="U24" s="119" t="s">
        <v>289</v>
      </c>
      <c r="V24" s="119" t="s">
        <v>289</v>
      </c>
      <c r="W24" s="119">
        <v>0</v>
      </c>
      <c r="X24" s="119" t="s">
        <v>332</v>
      </c>
      <c r="Y24" s="119"/>
      <c r="Z24" s="119">
        <v>0</v>
      </c>
      <c r="AA24" s="119">
        <v>0</v>
      </c>
      <c r="AB24" s="119">
        <v>0</v>
      </c>
      <c r="AM24" s="116" t="s">
        <v>320</v>
      </c>
    </row>
    <row r="25" spans="2:39" x14ac:dyDescent="0.25">
      <c r="B25" s="116" t="s">
        <v>24</v>
      </c>
      <c r="I25" s="120">
        <v>7</v>
      </c>
      <c r="K25" s="119"/>
      <c r="L25" s="119"/>
      <c r="M25" s="119" t="s">
        <v>334</v>
      </c>
      <c r="N25" s="119"/>
      <c r="O25" s="119"/>
      <c r="P25" s="119"/>
      <c r="Q25" s="119"/>
      <c r="R25" s="119"/>
      <c r="S25" s="119"/>
      <c r="T25" s="119"/>
      <c r="U25" s="119" t="s">
        <v>335</v>
      </c>
      <c r="V25" s="119" t="s">
        <v>335</v>
      </c>
      <c r="W25" s="119">
        <v>0</v>
      </c>
      <c r="X25" s="119" t="s">
        <v>336</v>
      </c>
      <c r="Y25" s="119"/>
      <c r="Z25" s="119">
        <v>0</v>
      </c>
      <c r="AA25" s="119">
        <v>0</v>
      </c>
      <c r="AB25" s="119"/>
      <c r="AM25" s="116" t="s">
        <v>374</v>
      </c>
    </row>
    <row r="26" spans="2:39" x14ac:dyDescent="0.25">
      <c r="K26" s="119"/>
      <c r="L26" s="119"/>
      <c r="M26" s="119" t="s">
        <v>337</v>
      </c>
      <c r="N26" s="119"/>
      <c r="O26" s="119"/>
      <c r="P26" s="119"/>
      <c r="Q26" s="119"/>
      <c r="R26" s="119"/>
      <c r="S26" s="119"/>
      <c r="T26" s="119"/>
      <c r="U26" s="119" t="s">
        <v>338</v>
      </c>
      <c r="V26" s="119" t="s">
        <v>338</v>
      </c>
      <c r="W26" s="119">
        <v>0</v>
      </c>
      <c r="X26" s="119">
        <v>0</v>
      </c>
      <c r="Y26" s="119"/>
      <c r="Z26" s="119">
        <v>0</v>
      </c>
      <c r="AA26" s="119">
        <v>0</v>
      </c>
      <c r="AB26" s="119"/>
      <c r="AM26" s="116" t="s">
        <v>324</v>
      </c>
    </row>
    <row r="27" spans="2:39" x14ac:dyDescent="0.25">
      <c r="K27" s="119"/>
      <c r="L27" s="119"/>
      <c r="M27" s="119" t="s">
        <v>339</v>
      </c>
      <c r="N27" s="119"/>
      <c r="O27" s="119"/>
      <c r="P27" s="119"/>
      <c r="Q27" s="119"/>
      <c r="R27" s="119"/>
      <c r="S27" s="119"/>
      <c r="T27" s="119"/>
      <c r="U27" s="119" t="s">
        <v>340</v>
      </c>
      <c r="V27" s="119" t="s">
        <v>340</v>
      </c>
      <c r="W27" s="119">
        <v>0</v>
      </c>
      <c r="X27" s="119" t="s">
        <v>341</v>
      </c>
      <c r="Y27" s="119"/>
      <c r="Z27" s="119">
        <v>0</v>
      </c>
      <c r="AA27" s="119">
        <v>0</v>
      </c>
      <c r="AB27" s="119"/>
      <c r="AM27" s="116" t="s">
        <v>327</v>
      </c>
    </row>
    <row r="28" spans="2:39" x14ac:dyDescent="0.25">
      <c r="K28" s="119"/>
      <c r="L28" s="119"/>
      <c r="M28" s="119" t="s">
        <v>343</v>
      </c>
      <c r="N28" s="119"/>
      <c r="O28" s="119"/>
      <c r="P28" s="119"/>
      <c r="Q28" s="119"/>
      <c r="R28" s="119"/>
      <c r="S28" s="119"/>
      <c r="T28" s="119"/>
      <c r="U28" s="119" t="s">
        <v>344</v>
      </c>
      <c r="V28" s="119" t="s">
        <v>344</v>
      </c>
      <c r="W28" s="119">
        <v>0</v>
      </c>
      <c r="X28" s="119" t="s">
        <v>345</v>
      </c>
      <c r="Y28" s="119"/>
      <c r="Z28" s="119">
        <v>0</v>
      </c>
      <c r="AA28" s="119">
        <v>0</v>
      </c>
      <c r="AB28" s="119"/>
      <c r="AM28" s="116" t="s">
        <v>330</v>
      </c>
    </row>
    <row r="29" spans="2:39" x14ac:dyDescent="0.25">
      <c r="M29" s="116" t="s">
        <v>347</v>
      </c>
      <c r="AM29" s="116" t="s">
        <v>333</v>
      </c>
    </row>
    <row r="30" spans="2:39" x14ac:dyDescent="0.25">
      <c r="B30" s="116" t="s">
        <v>28</v>
      </c>
      <c r="I30" s="120">
        <v>18</v>
      </c>
      <c r="M30" s="116" t="s">
        <v>348</v>
      </c>
      <c r="AM30" s="116" t="s">
        <v>376</v>
      </c>
    </row>
    <row r="31" spans="2:39" x14ac:dyDescent="0.25">
      <c r="B31" s="116" t="s">
        <v>30</v>
      </c>
      <c r="I31" s="120">
        <v>2.9</v>
      </c>
      <c r="M31" s="116" t="s">
        <v>350</v>
      </c>
      <c r="AM31" s="116" t="s">
        <v>387</v>
      </c>
    </row>
    <row r="32" spans="2:39" x14ac:dyDescent="0.25">
      <c r="I32" s="120"/>
      <c r="M32" s="116" t="s">
        <v>352</v>
      </c>
      <c r="AM32" s="116" t="s">
        <v>388</v>
      </c>
    </row>
    <row r="33" spans="2:39" x14ac:dyDescent="0.25">
      <c r="I33" s="120"/>
      <c r="M33" s="116" t="s">
        <v>354</v>
      </c>
      <c r="AM33" s="116" t="s">
        <v>357</v>
      </c>
    </row>
    <row r="34" spans="2:39" x14ac:dyDescent="0.25">
      <c r="B34" s="116" t="s">
        <v>32</v>
      </c>
      <c r="I34" s="120">
        <v>6</v>
      </c>
      <c r="M34" s="116" t="s">
        <v>386</v>
      </c>
      <c r="AM34" s="116" t="s">
        <v>358</v>
      </c>
    </row>
    <row r="35" spans="2:39" x14ac:dyDescent="0.25">
      <c r="B35" s="116" t="s">
        <v>0</v>
      </c>
      <c r="I35" s="120">
        <v>6</v>
      </c>
      <c r="AM35" s="116" t="s">
        <v>359</v>
      </c>
    </row>
    <row r="36" spans="2:39" x14ac:dyDescent="0.25">
      <c r="B36" s="116" t="s">
        <v>1</v>
      </c>
      <c r="I36" s="120">
        <v>6</v>
      </c>
      <c r="AM36" s="116" t="s">
        <v>360</v>
      </c>
    </row>
    <row r="37" spans="2:39" x14ac:dyDescent="0.25">
      <c r="B37" s="116" t="s">
        <v>2</v>
      </c>
      <c r="I37" s="120">
        <v>6</v>
      </c>
      <c r="AM37" s="116" t="s">
        <v>361</v>
      </c>
    </row>
    <row r="38" spans="2:39" x14ac:dyDescent="0.25">
      <c r="B38" s="116" t="s">
        <v>3</v>
      </c>
      <c r="I38" s="120">
        <v>6</v>
      </c>
      <c r="AM38" s="116" t="s">
        <v>384</v>
      </c>
    </row>
    <row r="39" spans="2:39" x14ac:dyDescent="0.25">
      <c r="B39" s="116" t="s">
        <v>4</v>
      </c>
      <c r="I39" s="120">
        <v>6</v>
      </c>
      <c r="AM39" s="116" t="s">
        <v>385</v>
      </c>
    </row>
    <row r="40" spans="2:39" x14ac:dyDescent="0.25">
      <c r="B40" s="116" t="s">
        <v>7</v>
      </c>
      <c r="I40" s="120">
        <v>6</v>
      </c>
      <c r="AM40" s="116" t="s">
        <v>349</v>
      </c>
    </row>
    <row r="41" spans="2:39" x14ac:dyDescent="0.25">
      <c r="B41" s="116" t="s">
        <v>11</v>
      </c>
      <c r="I41" s="120">
        <v>6</v>
      </c>
      <c r="AM41" s="116" t="s">
        <v>351</v>
      </c>
    </row>
    <row r="42" spans="2:39" x14ac:dyDescent="0.25">
      <c r="B42" s="116" t="s">
        <v>14</v>
      </c>
      <c r="I42" s="120">
        <v>6</v>
      </c>
      <c r="AM42" s="116" t="s">
        <v>353</v>
      </c>
    </row>
    <row r="43" spans="2:39" x14ac:dyDescent="0.25">
      <c r="I43" s="120"/>
      <c r="AM43" s="116" t="s">
        <v>355</v>
      </c>
    </row>
    <row r="44" spans="2:39" x14ac:dyDescent="0.25">
      <c r="B44" s="116" t="s">
        <v>100</v>
      </c>
      <c r="AM44" s="116" t="s">
        <v>356</v>
      </c>
    </row>
    <row r="45" spans="2:39" x14ac:dyDescent="0.25">
      <c r="B45" s="116" t="s">
        <v>34</v>
      </c>
      <c r="I45" s="120" t="s">
        <v>35</v>
      </c>
      <c r="AM45" s="116" t="s">
        <v>103</v>
      </c>
    </row>
    <row r="46" spans="2:39" x14ac:dyDescent="0.25">
      <c r="B46" s="116" t="s">
        <v>37</v>
      </c>
      <c r="I46" s="120">
        <v>1.6</v>
      </c>
      <c r="AM46" s="116" t="s">
        <v>104</v>
      </c>
    </row>
    <row r="47" spans="2:39" x14ac:dyDescent="0.25">
      <c r="B47" s="116" t="s">
        <v>31</v>
      </c>
      <c r="I47" s="120" t="s">
        <v>362</v>
      </c>
      <c r="AM47" s="116" t="s">
        <v>23</v>
      </c>
    </row>
    <row r="48" spans="2:39" x14ac:dyDescent="0.25">
      <c r="B48" s="116" t="s">
        <v>33</v>
      </c>
      <c r="I48" s="120" t="s">
        <v>362</v>
      </c>
      <c r="AM48" s="116" t="s">
        <v>373</v>
      </c>
    </row>
    <row r="49" spans="2:39" x14ac:dyDescent="0.25">
      <c r="B49" s="116" t="s">
        <v>36</v>
      </c>
      <c r="I49" s="120">
        <v>1.6</v>
      </c>
      <c r="AM49" s="116" t="s">
        <v>377</v>
      </c>
    </row>
    <row r="50" spans="2:39" x14ac:dyDescent="0.25">
      <c r="B50" s="116" t="s">
        <v>38</v>
      </c>
      <c r="I50" s="120" t="s">
        <v>362</v>
      </c>
      <c r="AM50" s="116" t="s">
        <v>390</v>
      </c>
    </row>
    <row r="51" spans="2:39" x14ac:dyDescent="0.25">
      <c r="B51" s="116" t="s">
        <v>98</v>
      </c>
      <c r="I51" s="120">
        <v>4</v>
      </c>
      <c r="AM51" s="116" t="s">
        <v>391</v>
      </c>
    </row>
    <row r="52" spans="2:39" x14ac:dyDescent="0.25">
      <c r="B52" s="116" t="s">
        <v>99</v>
      </c>
      <c r="I52" s="120">
        <v>4</v>
      </c>
      <c r="AM52" s="116" t="s">
        <v>328</v>
      </c>
    </row>
    <row r="53" spans="2:39" x14ac:dyDescent="0.25">
      <c r="B53" s="116" t="s">
        <v>257</v>
      </c>
      <c r="I53" s="120">
        <v>6</v>
      </c>
    </row>
    <row r="58" spans="2:39" x14ac:dyDescent="0.25">
      <c r="B58" s="116" t="s">
        <v>115</v>
      </c>
      <c r="E58" s="116" t="s">
        <v>113</v>
      </c>
      <c r="H58" s="116" t="s">
        <v>114</v>
      </c>
    </row>
    <row r="59" spans="2:39" x14ac:dyDescent="0.25">
      <c r="B59" s="116" t="s">
        <v>116</v>
      </c>
      <c r="E59" s="116" t="s">
        <v>116</v>
      </c>
      <c r="H59" s="116" t="s">
        <v>116</v>
      </c>
    </row>
    <row r="60" spans="2:39" x14ac:dyDescent="0.25">
      <c r="B60" s="116" t="s">
        <v>101</v>
      </c>
      <c r="E60" s="116" t="s">
        <v>105</v>
      </c>
      <c r="H60" s="116" t="s">
        <v>109</v>
      </c>
    </row>
    <row r="61" spans="2:39" x14ac:dyDescent="0.25">
      <c r="B61" s="116" t="s">
        <v>102</v>
      </c>
      <c r="E61" s="116" t="s">
        <v>106</v>
      </c>
      <c r="H61" s="116" t="s">
        <v>110</v>
      </c>
    </row>
    <row r="62" spans="2:39" x14ac:dyDescent="0.25">
      <c r="B62" s="116" t="s">
        <v>103</v>
      </c>
      <c r="E62" s="116" t="s">
        <v>107</v>
      </c>
      <c r="H62" s="116" t="s">
        <v>111</v>
      </c>
    </row>
    <row r="63" spans="2:39" x14ac:dyDescent="0.25">
      <c r="B63" s="116" t="s">
        <v>104</v>
      </c>
      <c r="E63" s="116" t="s">
        <v>108</v>
      </c>
      <c r="H63" s="116" t="s">
        <v>112</v>
      </c>
    </row>
    <row r="64" spans="2:39" x14ac:dyDescent="0.25">
      <c r="B64" s="116" t="s">
        <v>290</v>
      </c>
      <c r="H64" s="116" t="s">
        <v>291</v>
      </c>
    </row>
    <row r="69" spans="3:3" x14ac:dyDescent="0.25">
      <c r="C69" s="116" t="s">
        <v>241</v>
      </c>
    </row>
    <row r="70" spans="3:3" x14ac:dyDescent="0.25">
      <c r="C70" s="116" t="s">
        <v>13</v>
      </c>
    </row>
    <row r="71" spans="3:3" x14ac:dyDescent="0.25">
      <c r="C71" s="116" t="s">
        <v>15</v>
      </c>
    </row>
    <row r="72" spans="3:3" x14ac:dyDescent="0.25">
      <c r="C72" s="116" t="s">
        <v>16</v>
      </c>
    </row>
    <row r="73" spans="3:3" x14ac:dyDescent="0.25">
      <c r="C73" s="116" t="s">
        <v>17</v>
      </c>
    </row>
    <row r="74" spans="3:3" x14ac:dyDescent="0.25">
      <c r="C74" s="116" t="s">
        <v>18</v>
      </c>
    </row>
    <row r="75" spans="3:3" x14ac:dyDescent="0.25">
      <c r="C75" s="116" t="s">
        <v>19</v>
      </c>
    </row>
    <row r="76" spans="3:3" x14ac:dyDescent="0.25">
      <c r="C76" s="116" t="s">
        <v>20</v>
      </c>
    </row>
    <row r="77" spans="3:3" x14ac:dyDescent="0.25">
      <c r="C77" s="116" t="s">
        <v>21</v>
      </c>
    </row>
    <row r="78" spans="3:3" x14ac:dyDescent="0.25">
      <c r="C78" s="116" t="s">
        <v>23</v>
      </c>
    </row>
    <row r="79" spans="3:3" x14ac:dyDescent="0.25">
      <c r="C79" s="116" t="s">
        <v>25</v>
      </c>
    </row>
    <row r="80" spans="3:3" x14ac:dyDescent="0.25">
      <c r="C80" s="116" t="s">
        <v>26</v>
      </c>
    </row>
    <row r="81" spans="2:7" x14ac:dyDescent="0.25">
      <c r="C81" s="116" t="s">
        <v>27</v>
      </c>
    </row>
    <row r="82" spans="2:7" x14ac:dyDescent="0.25">
      <c r="C82" s="116" t="s">
        <v>29</v>
      </c>
    </row>
    <row r="85" spans="2:7" x14ac:dyDescent="0.25">
      <c r="B85" s="116" t="s">
        <v>125</v>
      </c>
      <c r="G85" s="116" t="s">
        <v>129</v>
      </c>
    </row>
    <row r="86" spans="2:7" x14ac:dyDescent="0.25">
      <c r="B86" s="116" t="s">
        <v>126</v>
      </c>
      <c r="G86" s="116" t="s">
        <v>129</v>
      </c>
    </row>
    <row r="87" spans="2:7" x14ac:dyDescent="0.25">
      <c r="B87" s="116" t="s">
        <v>127</v>
      </c>
      <c r="G87" s="116" t="s">
        <v>129</v>
      </c>
    </row>
    <row r="88" spans="2:7" x14ac:dyDescent="0.25">
      <c r="B88" s="116" t="s">
        <v>128</v>
      </c>
      <c r="G88" s="117">
        <v>1</v>
      </c>
    </row>
    <row r="97" spans="1:8" x14ac:dyDescent="0.25">
      <c r="A97" s="116">
        <v>1</v>
      </c>
      <c r="B97" s="116" t="s">
        <v>133</v>
      </c>
      <c r="D97" s="116">
        <v>1</v>
      </c>
      <c r="E97" s="116" t="s">
        <v>135</v>
      </c>
      <c r="G97" s="116">
        <v>1</v>
      </c>
      <c r="H97" s="116" t="s">
        <v>136</v>
      </c>
    </row>
    <row r="98" spans="1:8" x14ac:dyDescent="0.25">
      <c r="A98" s="116">
        <v>2</v>
      </c>
      <c r="B98" s="116" t="s">
        <v>52</v>
      </c>
      <c r="D98" s="116">
        <v>2</v>
      </c>
      <c r="E98" s="116" t="s">
        <v>137</v>
      </c>
      <c r="G98" s="116">
        <v>2</v>
      </c>
      <c r="H98" s="116" t="s">
        <v>43</v>
      </c>
    </row>
    <row r="99" spans="1:8" x14ac:dyDescent="0.25">
      <c r="A99" s="116">
        <v>3</v>
      </c>
      <c r="B99" s="116" t="s">
        <v>53</v>
      </c>
      <c r="D99" s="116">
        <v>3</v>
      </c>
      <c r="E99" s="116" t="s">
        <v>41</v>
      </c>
      <c r="G99" s="116">
        <v>3</v>
      </c>
      <c r="H99" s="116" t="s">
        <v>44</v>
      </c>
    </row>
    <row r="100" spans="1:8" x14ac:dyDescent="0.25">
      <c r="A100" s="116">
        <v>4</v>
      </c>
      <c r="B100" s="116" t="s">
        <v>54</v>
      </c>
      <c r="D100" s="116">
        <v>4</v>
      </c>
      <c r="E100" s="116" t="s">
        <v>40</v>
      </c>
      <c r="G100" s="116">
        <v>4</v>
      </c>
      <c r="H100" s="116" t="s">
        <v>45</v>
      </c>
    </row>
    <row r="101" spans="1:8" x14ac:dyDescent="0.25">
      <c r="A101" s="116">
        <v>5</v>
      </c>
      <c r="B101" s="117" t="s">
        <v>392</v>
      </c>
      <c r="D101" s="116">
        <v>5</v>
      </c>
      <c r="E101" s="116" t="s">
        <v>46</v>
      </c>
    </row>
    <row r="102" spans="1:8" x14ac:dyDescent="0.25">
      <c r="A102" s="116">
        <v>6</v>
      </c>
      <c r="B102" s="116" t="s">
        <v>55</v>
      </c>
      <c r="D102" s="116">
        <v>6</v>
      </c>
      <c r="E102" s="116" t="s">
        <v>47</v>
      </c>
    </row>
    <row r="103" spans="1:8" x14ac:dyDescent="0.25">
      <c r="A103" s="116">
        <v>7</v>
      </c>
      <c r="B103" s="116" t="s">
        <v>56</v>
      </c>
      <c r="D103" s="116">
        <v>7</v>
      </c>
      <c r="E103" s="116" t="s">
        <v>48</v>
      </c>
    </row>
    <row r="104" spans="1:8" x14ac:dyDescent="0.25">
      <c r="A104" s="116">
        <v>8</v>
      </c>
      <c r="B104" s="116" t="s">
        <v>42</v>
      </c>
      <c r="D104" s="116">
        <v>8</v>
      </c>
      <c r="E104" s="116" t="s">
        <v>49</v>
      </c>
    </row>
    <row r="105" spans="1:8" x14ac:dyDescent="0.25">
      <c r="A105" s="116">
        <v>9</v>
      </c>
      <c r="B105" s="116" t="s">
        <v>57</v>
      </c>
      <c r="D105" s="116">
        <v>9</v>
      </c>
      <c r="E105" s="116" t="s">
        <v>50</v>
      </c>
    </row>
    <row r="106" spans="1:8" x14ac:dyDescent="0.25">
      <c r="A106" s="116">
        <v>10</v>
      </c>
      <c r="B106" s="116" t="s">
        <v>58</v>
      </c>
      <c r="D106" s="116">
        <v>10</v>
      </c>
      <c r="E106" s="116" t="s">
        <v>51</v>
      </c>
    </row>
    <row r="107" spans="1:8" x14ac:dyDescent="0.25">
      <c r="A107" s="116">
        <v>11</v>
      </c>
      <c r="B107" s="116" t="s">
        <v>59</v>
      </c>
    </row>
    <row r="108" spans="1:8" x14ac:dyDescent="0.25">
      <c r="A108" s="116">
        <v>12</v>
      </c>
      <c r="B108" s="116" t="s">
        <v>60</v>
      </c>
    </row>
    <row r="109" spans="1:8" x14ac:dyDescent="0.25">
      <c r="A109" s="116">
        <v>13</v>
      </c>
      <c r="B109" s="116" t="s">
        <v>61</v>
      </c>
    </row>
    <row r="110" spans="1:8" x14ac:dyDescent="0.25">
      <c r="A110" s="116">
        <v>14</v>
      </c>
      <c r="B110" s="116" t="s">
        <v>62</v>
      </c>
    </row>
    <row r="111" spans="1:8" x14ac:dyDescent="0.25">
      <c r="A111" s="116">
        <v>15</v>
      </c>
      <c r="B111" s="116" t="s">
        <v>63</v>
      </c>
    </row>
    <row r="112" spans="1:8" x14ac:dyDescent="0.25">
      <c r="A112" s="116">
        <v>16</v>
      </c>
      <c r="B112" s="116" t="s">
        <v>64</v>
      </c>
    </row>
    <row r="113" spans="1:13" x14ac:dyDescent="0.25">
      <c r="A113" s="116">
        <v>17</v>
      </c>
      <c r="B113" s="116" t="s">
        <v>65</v>
      </c>
    </row>
    <row r="114" spans="1:13" ht="21" x14ac:dyDescent="0.35">
      <c r="A114" s="116">
        <v>18</v>
      </c>
      <c r="B114" s="116" t="s">
        <v>66</v>
      </c>
      <c r="F114" s="121" t="s">
        <v>285</v>
      </c>
      <c r="G114" s="121"/>
      <c r="H114" s="121"/>
      <c r="I114" s="121"/>
    </row>
    <row r="115" spans="1:13" ht="21" x14ac:dyDescent="0.35">
      <c r="A115" s="116">
        <v>19</v>
      </c>
      <c r="B115" s="116" t="s">
        <v>67</v>
      </c>
      <c r="F115" s="121"/>
    </row>
    <row r="116" spans="1:13" ht="15.75" thickBot="1" x14ac:dyDescent="0.3">
      <c r="A116" s="116">
        <v>20</v>
      </c>
      <c r="B116" s="116" t="s">
        <v>68</v>
      </c>
    </row>
    <row r="117" spans="1:13" x14ac:dyDescent="0.25">
      <c r="B117" s="122" t="s">
        <v>139</v>
      </c>
      <c r="C117" s="123"/>
      <c r="D117" s="123"/>
      <c r="E117" s="123" t="s">
        <v>140</v>
      </c>
      <c r="F117" s="123"/>
      <c r="G117" s="123"/>
      <c r="H117" s="123" t="s">
        <v>140</v>
      </c>
      <c r="I117" s="124"/>
    </row>
    <row r="118" spans="1:13" x14ac:dyDescent="0.25">
      <c r="B118" s="131">
        <v>37</v>
      </c>
      <c r="C118" s="125"/>
      <c r="D118" s="125"/>
      <c r="E118" s="131">
        <v>5</v>
      </c>
      <c r="F118" s="125"/>
      <c r="G118" s="125"/>
      <c r="H118" s="131">
        <v>8.5</v>
      </c>
      <c r="I118" s="126"/>
    </row>
    <row r="119" spans="1:13" ht="15.75" thickBot="1" x14ac:dyDescent="0.3">
      <c r="B119" s="127" t="s">
        <v>130</v>
      </c>
      <c r="C119" s="128"/>
      <c r="D119" s="128"/>
      <c r="E119" s="128" t="s">
        <v>131</v>
      </c>
      <c r="F119" s="128"/>
      <c r="G119" s="128"/>
      <c r="H119" s="128" t="s">
        <v>132</v>
      </c>
      <c r="I119" s="129"/>
    </row>
    <row r="124" spans="1:13" x14ac:dyDescent="0.25">
      <c r="B124" s="116" t="s">
        <v>245</v>
      </c>
      <c r="M124" s="117">
        <v>3.8</v>
      </c>
    </row>
    <row r="125" spans="1:13" x14ac:dyDescent="0.25">
      <c r="B125" s="116" t="s">
        <v>292</v>
      </c>
      <c r="M125" s="117">
        <v>8</v>
      </c>
    </row>
    <row r="126" spans="1:13" x14ac:dyDescent="0.25">
      <c r="M126" s="117"/>
    </row>
    <row r="128" spans="1:13" x14ac:dyDescent="0.25">
      <c r="B128" s="117" t="s">
        <v>363</v>
      </c>
      <c r="I128" s="117">
        <v>1</v>
      </c>
      <c r="K128" s="116">
        <v>0</v>
      </c>
    </row>
    <row r="129" spans="2:14" x14ac:dyDescent="0.25">
      <c r="B129" s="117"/>
      <c r="I129" s="117"/>
      <c r="K129" s="116">
        <v>0</v>
      </c>
    </row>
    <row r="130" spans="2:14" x14ac:dyDescent="0.25">
      <c r="B130" s="117" t="s">
        <v>155</v>
      </c>
      <c r="I130" s="117"/>
      <c r="K130" s="116">
        <v>0</v>
      </c>
    </row>
    <row r="131" spans="2:14" x14ac:dyDescent="0.25">
      <c r="B131" s="117" t="s">
        <v>247</v>
      </c>
      <c r="I131" s="117">
        <v>6</v>
      </c>
    </row>
    <row r="132" spans="2:14" x14ac:dyDescent="0.25">
      <c r="B132" s="117" t="s">
        <v>364</v>
      </c>
      <c r="I132" s="117">
        <v>4</v>
      </c>
      <c r="K132" s="116" t="s">
        <v>365</v>
      </c>
      <c r="L132" s="116" t="s">
        <v>366</v>
      </c>
      <c r="M132" s="116" t="s">
        <v>367</v>
      </c>
      <c r="N132" s="116" t="s">
        <v>368</v>
      </c>
    </row>
    <row r="133" spans="2:14" x14ac:dyDescent="0.25">
      <c r="B133" s="117" t="s">
        <v>293</v>
      </c>
      <c r="I133" s="117">
        <v>4</v>
      </c>
      <c r="K133" s="116" t="s">
        <v>294</v>
      </c>
    </row>
    <row r="134" spans="2:14" x14ac:dyDescent="0.25">
      <c r="B134" s="117" t="s">
        <v>71</v>
      </c>
      <c r="I134" s="117">
        <v>4</v>
      </c>
      <c r="K134" s="116" t="s">
        <v>150</v>
      </c>
    </row>
    <row r="135" spans="2:14" x14ac:dyDescent="0.25">
      <c r="B135" s="117" t="s">
        <v>295</v>
      </c>
      <c r="I135" s="117">
        <v>4</v>
      </c>
      <c r="K135" s="116" t="s">
        <v>296</v>
      </c>
    </row>
    <row r="136" spans="2:14" x14ac:dyDescent="0.25">
      <c r="B136" s="117" t="s">
        <v>70</v>
      </c>
      <c r="I136" s="117">
        <v>6</v>
      </c>
      <c r="K136" s="116" t="s">
        <v>149</v>
      </c>
    </row>
    <row r="137" spans="2:14" x14ac:dyDescent="0.25">
      <c r="B137" s="117" t="s">
        <v>248</v>
      </c>
      <c r="I137" s="117">
        <v>6</v>
      </c>
      <c r="K137" s="116" t="s">
        <v>151</v>
      </c>
    </row>
    <row r="138" spans="2:14" x14ac:dyDescent="0.25">
      <c r="B138" s="117" t="s">
        <v>249</v>
      </c>
      <c r="I138" s="117">
        <v>6</v>
      </c>
      <c r="K138" s="116" t="s">
        <v>250</v>
      </c>
    </row>
    <row r="139" spans="2:14" x14ac:dyDescent="0.25">
      <c r="B139" s="117" t="s">
        <v>251</v>
      </c>
      <c r="I139" s="117">
        <v>6</v>
      </c>
      <c r="K139" s="116" t="s">
        <v>152</v>
      </c>
    </row>
    <row r="140" spans="2:14" x14ac:dyDescent="0.25">
      <c r="B140" s="117" t="s">
        <v>252</v>
      </c>
      <c r="I140" s="117">
        <v>4</v>
      </c>
      <c r="K140" s="116" t="s">
        <v>403</v>
      </c>
    </row>
    <row r="141" spans="2:14" x14ac:dyDescent="0.25">
      <c r="B141" s="117" t="s">
        <v>253</v>
      </c>
      <c r="I141" s="117">
        <v>4</v>
      </c>
      <c r="K141" s="116" t="s">
        <v>153</v>
      </c>
    </row>
    <row r="142" spans="2:14" x14ac:dyDescent="0.25">
      <c r="B142" s="117" t="s">
        <v>254</v>
      </c>
      <c r="I142" s="117">
        <v>6</v>
      </c>
      <c r="K142" s="116" t="s">
        <v>255</v>
      </c>
    </row>
    <row r="143" spans="2:14" x14ac:dyDescent="0.25">
      <c r="B143" s="117" t="s">
        <v>72</v>
      </c>
      <c r="I143" s="117">
        <v>4</v>
      </c>
      <c r="K143" s="116" t="s">
        <v>154</v>
      </c>
    </row>
    <row r="144" spans="2:14" x14ac:dyDescent="0.25">
      <c r="B144" s="117">
        <v>0</v>
      </c>
      <c r="I144" s="117">
        <v>0</v>
      </c>
    </row>
    <row r="145" spans="1:16" x14ac:dyDescent="0.25">
      <c r="B145" s="117" t="s">
        <v>297</v>
      </c>
      <c r="I145" s="117">
        <v>11</v>
      </c>
      <c r="K145" s="116" t="s">
        <v>298</v>
      </c>
      <c r="L145" s="116" t="s">
        <v>300</v>
      </c>
      <c r="M145" s="116" t="s">
        <v>69</v>
      </c>
      <c r="P145" s="116" t="s">
        <v>242</v>
      </c>
    </row>
    <row r="146" spans="1:16" x14ac:dyDescent="0.25">
      <c r="B146" s="117" t="s">
        <v>299</v>
      </c>
      <c r="I146" s="117">
        <v>14.5</v>
      </c>
      <c r="K146" s="116" t="s">
        <v>298</v>
      </c>
      <c r="L146" s="116" t="s">
        <v>300</v>
      </c>
      <c r="M146" s="116" t="s">
        <v>69</v>
      </c>
      <c r="N146" s="116" t="s">
        <v>306</v>
      </c>
      <c r="P146" s="116" t="s">
        <v>242</v>
      </c>
    </row>
    <row r="147" spans="1:16" x14ac:dyDescent="0.25">
      <c r="B147" s="117" t="s">
        <v>301</v>
      </c>
      <c r="I147" s="117">
        <v>18</v>
      </c>
      <c r="K147" s="116" t="s">
        <v>298</v>
      </c>
      <c r="L147" s="116" t="s">
        <v>300</v>
      </c>
      <c r="M147" s="116" t="s">
        <v>69</v>
      </c>
      <c r="N147" s="116" t="s">
        <v>306</v>
      </c>
      <c r="O147" s="116" t="s">
        <v>307</v>
      </c>
      <c r="P147" s="116" t="s">
        <v>242</v>
      </c>
    </row>
    <row r="148" spans="1:16" x14ac:dyDescent="0.25">
      <c r="B148" s="117"/>
      <c r="I148" s="117"/>
    </row>
    <row r="149" spans="1:16" x14ac:dyDescent="0.25">
      <c r="B149" s="117"/>
      <c r="I149" s="117"/>
    </row>
    <row r="154" spans="1:16" x14ac:dyDescent="0.25">
      <c r="B154" s="116" t="s">
        <v>158</v>
      </c>
    </row>
    <row r="155" spans="1:16" x14ac:dyDescent="0.25">
      <c r="B155" s="116" t="s">
        <v>30</v>
      </c>
      <c r="H155" s="116" t="s">
        <v>39</v>
      </c>
      <c r="I155" s="117">
        <v>2.9</v>
      </c>
    </row>
    <row r="156" spans="1:16" x14ac:dyDescent="0.25">
      <c r="B156" s="116" t="s">
        <v>156</v>
      </c>
      <c r="H156" s="116" t="s">
        <v>39</v>
      </c>
      <c r="I156" s="117">
        <v>3.9</v>
      </c>
    </row>
    <row r="157" spans="1:16" x14ac:dyDescent="0.25">
      <c r="B157" s="116" t="s">
        <v>157</v>
      </c>
      <c r="H157" s="116" t="s">
        <v>39</v>
      </c>
      <c r="I157" s="117">
        <v>4.4000000000000004</v>
      </c>
    </row>
    <row r="159" spans="1:16" ht="15.75" x14ac:dyDescent="0.25">
      <c r="A159" s="132" t="s">
        <v>173</v>
      </c>
      <c r="B159" s="132"/>
      <c r="C159" s="132"/>
      <c r="D159" s="132"/>
      <c r="E159" s="132"/>
      <c r="F159" s="132"/>
      <c r="G159" s="132"/>
      <c r="H159" s="117"/>
      <c r="I159" s="117"/>
      <c r="P159" s="116" t="s">
        <v>179</v>
      </c>
    </row>
    <row r="160" spans="1:16" ht="15.75" x14ac:dyDescent="0.25">
      <c r="A160" s="132" t="s">
        <v>180</v>
      </c>
      <c r="B160" s="132"/>
      <c r="C160" s="132"/>
      <c r="D160" s="132"/>
      <c r="E160" s="132"/>
      <c r="F160" s="132"/>
      <c r="G160" s="132"/>
      <c r="H160" s="117"/>
      <c r="I160" s="117"/>
      <c r="P160" s="116" t="s">
        <v>181</v>
      </c>
    </row>
    <row r="161" spans="1:17" ht="15.75" x14ac:dyDescent="0.25">
      <c r="A161" s="132" t="s">
        <v>182</v>
      </c>
      <c r="C161" s="132"/>
      <c r="D161" s="132"/>
      <c r="E161" s="132"/>
      <c r="F161" s="132"/>
      <c r="G161" s="132"/>
      <c r="H161" s="117"/>
      <c r="I161" s="117"/>
      <c r="O161" s="133">
        <v>18.2</v>
      </c>
      <c r="P161" s="133">
        <v>18.2</v>
      </c>
      <c r="Q161" s="116" t="s">
        <v>183</v>
      </c>
    </row>
    <row r="162" spans="1:17" ht="15.75" x14ac:dyDescent="0.25">
      <c r="A162" s="132" t="s">
        <v>184</v>
      </c>
      <c r="B162" s="132"/>
      <c r="C162" s="132"/>
      <c r="D162" s="132"/>
      <c r="E162" s="132"/>
      <c r="F162" s="132"/>
      <c r="G162" s="132"/>
      <c r="H162" s="117"/>
      <c r="I162" s="117"/>
      <c r="P162" s="133">
        <v>33.799999999999997</v>
      </c>
    </row>
    <row r="163" spans="1:17" ht="15.75" x14ac:dyDescent="0.25">
      <c r="A163" s="132" t="s">
        <v>185</v>
      </c>
      <c r="B163" s="132"/>
      <c r="C163" s="132"/>
      <c r="D163" s="132"/>
      <c r="E163" s="132"/>
      <c r="F163" s="132"/>
      <c r="G163" s="132"/>
      <c r="P163" s="133"/>
    </row>
    <row r="164" spans="1:17" ht="15.75" x14ac:dyDescent="0.25">
      <c r="A164" s="132"/>
      <c r="B164" s="132"/>
      <c r="C164" s="132"/>
      <c r="D164" s="132"/>
      <c r="E164" s="132"/>
      <c r="F164" s="132"/>
      <c r="G164" s="132"/>
      <c r="P164" s="133"/>
    </row>
    <row r="165" spans="1:17" ht="15.75" x14ac:dyDescent="0.25">
      <c r="A165" s="132" t="s">
        <v>302</v>
      </c>
      <c r="C165" s="132"/>
      <c r="D165" s="132"/>
      <c r="E165" s="132"/>
      <c r="F165" s="132"/>
      <c r="G165" s="132"/>
      <c r="P165" s="133" t="s">
        <v>273</v>
      </c>
    </row>
    <row r="166" spans="1:17" ht="15.75" x14ac:dyDescent="0.25">
      <c r="A166" s="132" t="s">
        <v>303</v>
      </c>
      <c r="B166" s="132"/>
      <c r="C166" s="132"/>
      <c r="D166" s="132"/>
      <c r="E166" s="132"/>
      <c r="F166" s="132"/>
      <c r="G166" s="132"/>
    </row>
    <row r="167" spans="1:17" ht="15.75" x14ac:dyDescent="0.25">
      <c r="A167" s="132"/>
      <c r="B167" s="132"/>
      <c r="C167" s="132"/>
      <c r="D167" s="132"/>
      <c r="E167" s="132"/>
      <c r="F167" s="132"/>
      <c r="G167" s="132"/>
    </row>
    <row r="168" spans="1:17" ht="15.75" x14ac:dyDescent="0.25">
      <c r="B168" s="132"/>
      <c r="C168" s="132"/>
      <c r="D168" s="132"/>
      <c r="E168" s="132"/>
      <c r="F168" s="132"/>
      <c r="G168" s="132"/>
    </row>
    <row r="169" spans="1:17" ht="15.75" x14ac:dyDescent="0.25">
      <c r="A169" s="132" t="s">
        <v>186</v>
      </c>
    </row>
    <row r="171" spans="1:17" ht="15.75" x14ac:dyDescent="0.25">
      <c r="A171" s="134" t="s">
        <v>187</v>
      </c>
      <c r="B171" s="132"/>
    </row>
    <row r="172" spans="1:17" ht="15.75" x14ac:dyDescent="0.25">
      <c r="A172" s="132"/>
      <c r="B172" s="132"/>
    </row>
    <row r="173" spans="1:17" ht="15.75" x14ac:dyDescent="0.25">
      <c r="A173" s="132" t="s">
        <v>188</v>
      </c>
      <c r="B173" s="132"/>
    </row>
    <row r="174" spans="1:17" ht="15.75" x14ac:dyDescent="0.25">
      <c r="A174" s="132" t="s">
        <v>189</v>
      </c>
      <c r="B174" s="132"/>
    </row>
    <row r="175" spans="1:17" ht="15.75" x14ac:dyDescent="0.25">
      <c r="A175" s="132" t="s">
        <v>190</v>
      </c>
      <c r="B175" s="132"/>
    </row>
    <row r="176" spans="1:17" ht="15.75" x14ac:dyDescent="0.25">
      <c r="A176" s="132"/>
      <c r="B176" s="132"/>
    </row>
    <row r="177" spans="1:2" ht="15.75" x14ac:dyDescent="0.25">
      <c r="A177" s="132"/>
      <c r="B177" s="132"/>
    </row>
    <row r="178" spans="1:2" ht="15.75" x14ac:dyDescent="0.25">
      <c r="A178" s="132"/>
      <c r="B178" s="132"/>
    </row>
    <row r="179" spans="1:2" ht="15.75" x14ac:dyDescent="0.25">
      <c r="A179" s="132"/>
      <c r="B179" s="132"/>
    </row>
    <row r="180" spans="1:2" ht="15.75" x14ac:dyDescent="0.25">
      <c r="A180" s="134" t="s">
        <v>191</v>
      </c>
      <c r="B180" s="132"/>
    </row>
    <row r="181" spans="1:2" ht="15.75" x14ac:dyDescent="0.25">
      <c r="A181" s="132"/>
      <c r="B181" s="132"/>
    </row>
    <row r="182" spans="1:2" ht="15.75" x14ac:dyDescent="0.25">
      <c r="A182" s="132" t="s">
        <v>192</v>
      </c>
      <c r="B182" s="132"/>
    </row>
    <row r="183" spans="1:2" ht="15.75" x14ac:dyDescent="0.25">
      <c r="A183" s="132" t="s">
        <v>193</v>
      </c>
      <c r="B183" s="132"/>
    </row>
    <row r="184" spans="1:2" ht="15.75" x14ac:dyDescent="0.25">
      <c r="A184" s="132"/>
      <c r="B184" s="132"/>
    </row>
    <row r="185" spans="1:2" ht="15.75" x14ac:dyDescent="0.25">
      <c r="A185" s="134" t="s">
        <v>194</v>
      </c>
      <c r="B185" s="132"/>
    </row>
    <row r="187" spans="1:2" x14ac:dyDescent="0.25">
      <c r="A187" s="116" t="s">
        <v>195</v>
      </c>
    </row>
    <row r="188" spans="1:2" x14ac:dyDescent="0.25">
      <c r="A188" s="116" t="s">
        <v>175</v>
      </c>
    </row>
    <row r="222" spans="1:6" x14ac:dyDescent="0.25">
      <c r="A222" s="116" t="s">
        <v>378</v>
      </c>
      <c r="F222" s="116">
        <v>750</v>
      </c>
    </row>
    <row r="300" spans="1:5" x14ac:dyDescent="0.25">
      <c r="A300" s="116" t="s">
        <v>393</v>
      </c>
      <c r="D300" s="116" t="s">
        <v>394</v>
      </c>
    </row>
    <row r="301" spans="1:5" x14ac:dyDescent="0.25">
      <c r="A301" s="116" t="s">
        <v>395</v>
      </c>
      <c r="E301" s="116">
        <v>2.8</v>
      </c>
    </row>
    <row r="302" spans="1:5" x14ac:dyDescent="0.25">
      <c r="A302" s="116" t="s">
        <v>396</v>
      </c>
      <c r="E302" s="116">
        <v>4.5</v>
      </c>
    </row>
    <row r="303" spans="1:5" x14ac:dyDescent="0.25">
      <c r="A303" s="116" t="s">
        <v>397</v>
      </c>
      <c r="E303" s="116">
        <v>4.5</v>
      </c>
    </row>
    <row r="304" spans="1:5" x14ac:dyDescent="0.25">
      <c r="A304" s="116" t="s">
        <v>398</v>
      </c>
      <c r="E304" s="116">
        <v>3</v>
      </c>
    </row>
    <row r="305" spans="1:5" x14ac:dyDescent="0.25">
      <c r="A305" s="116" t="s">
        <v>399</v>
      </c>
      <c r="E305" s="116">
        <v>4.5</v>
      </c>
    </row>
    <row r="380" spans="1:1" x14ac:dyDescent="0.25">
      <c r="A380" s="116" t="s">
        <v>305</v>
      </c>
    </row>
    <row r="381" spans="1:1" x14ac:dyDescent="0.25">
      <c r="A381" s="116" t="s">
        <v>371</v>
      </c>
    </row>
    <row r="382" spans="1:1" x14ac:dyDescent="0.25">
      <c r="A382" s="116" t="s">
        <v>372</v>
      </c>
    </row>
    <row r="500" spans="1:2" x14ac:dyDescent="0.25">
      <c r="A500" s="116" t="s">
        <v>426</v>
      </c>
    </row>
    <row r="501" spans="1:2" x14ac:dyDescent="0.25">
      <c r="A501" s="116" t="s">
        <v>427</v>
      </c>
    </row>
    <row r="502" spans="1:2" x14ac:dyDescent="0.25">
      <c r="A502" s="116" t="s">
        <v>428</v>
      </c>
    </row>
    <row r="503" spans="1:2" x14ac:dyDescent="0.25">
      <c r="A503" s="116" t="s">
        <v>429</v>
      </c>
      <c r="B503" s="116">
        <v>1</v>
      </c>
    </row>
    <row r="504" spans="1:2" x14ac:dyDescent="0.25">
      <c r="A504" s="116" t="s">
        <v>430</v>
      </c>
      <c r="B504" s="116">
        <v>2</v>
      </c>
    </row>
    <row r="505" spans="1:2" x14ac:dyDescent="0.25">
      <c r="A505" s="116" t="s">
        <v>431</v>
      </c>
      <c r="B505" s="116">
        <v>3</v>
      </c>
    </row>
    <row r="506" spans="1:2" x14ac:dyDescent="0.25">
      <c r="A506" s="116" t="s">
        <v>432</v>
      </c>
      <c r="B506" s="116">
        <v>4</v>
      </c>
    </row>
    <row r="507" spans="1:2" x14ac:dyDescent="0.25">
      <c r="A507" s="116" t="s">
        <v>433</v>
      </c>
      <c r="B507" s="116">
        <v>5</v>
      </c>
    </row>
    <row r="508" spans="1:2" x14ac:dyDescent="0.25">
      <c r="A508" s="116" t="s">
        <v>434</v>
      </c>
      <c r="B508" s="116">
        <v>6</v>
      </c>
    </row>
    <row r="509" spans="1:2" x14ac:dyDescent="0.25">
      <c r="A509" s="116" t="s">
        <v>435</v>
      </c>
      <c r="B509" s="116">
        <v>7</v>
      </c>
    </row>
    <row r="510" spans="1:2" x14ac:dyDescent="0.25">
      <c r="A510" s="116" t="s">
        <v>436</v>
      </c>
      <c r="B510" s="116">
        <v>8</v>
      </c>
    </row>
    <row r="511" spans="1:2" x14ac:dyDescent="0.25">
      <c r="A511" s="116" t="s">
        <v>437</v>
      </c>
      <c r="B511" s="116">
        <v>9</v>
      </c>
    </row>
    <row r="512" spans="1:2" x14ac:dyDescent="0.25">
      <c r="A512" s="116" t="s">
        <v>438</v>
      </c>
      <c r="B512" s="116">
        <v>10</v>
      </c>
    </row>
    <row r="513" spans="1:2" x14ac:dyDescent="0.25">
      <c r="A513" s="116" t="s">
        <v>439</v>
      </c>
      <c r="B513" s="116">
        <v>11</v>
      </c>
    </row>
    <row r="514" spans="1:2" x14ac:dyDescent="0.25">
      <c r="A514" s="116" t="s">
        <v>440</v>
      </c>
      <c r="B514" s="116">
        <v>12</v>
      </c>
    </row>
    <row r="515" spans="1:2" x14ac:dyDescent="0.25">
      <c r="A515" s="116" t="s">
        <v>441</v>
      </c>
      <c r="B515" s="116">
        <v>13</v>
      </c>
    </row>
    <row r="516" spans="1:2" x14ac:dyDescent="0.25">
      <c r="A516" s="116" t="s">
        <v>442</v>
      </c>
      <c r="B516" s="116">
        <v>14</v>
      </c>
    </row>
    <row r="517" spans="1:2" x14ac:dyDescent="0.25">
      <c r="A517" s="116" t="s">
        <v>443</v>
      </c>
      <c r="B517" s="116">
        <v>15</v>
      </c>
    </row>
    <row r="518" spans="1:2" x14ac:dyDescent="0.25">
      <c r="A518" s="116" t="s">
        <v>444</v>
      </c>
      <c r="B518" s="116">
        <v>16</v>
      </c>
    </row>
    <row r="519" spans="1:2" x14ac:dyDescent="0.25">
      <c r="A519" s="116" t="s">
        <v>445</v>
      </c>
      <c r="B519" s="116">
        <v>17</v>
      </c>
    </row>
    <row r="520" spans="1:2" x14ac:dyDescent="0.25">
      <c r="A520" s="116" t="s">
        <v>446</v>
      </c>
      <c r="B520" s="116">
        <v>18</v>
      </c>
    </row>
    <row r="521" spans="1:2" x14ac:dyDescent="0.25">
      <c r="A521" s="116" t="s">
        <v>447</v>
      </c>
      <c r="B521" s="116">
        <v>19</v>
      </c>
    </row>
    <row r="522" spans="1:2" x14ac:dyDescent="0.25">
      <c r="A522" s="116" t="s">
        <v>448</v>
      </c>
      <c r="B522" s="116">
        <v>20</v>
      </c>
    </row>
    <row r="523" spans="1:2" x14ac:dyDescent="0.25">
      <c r="A523" s="116" t="s">
        <v>449</v>
      </c>
      <c r="B523" s="116">
        <v>40</v>
      </c>
    </row>
  </sheetData>
  <sheetProtection algorithmName="SHA-512" hashValue="TgyUn3Y4ufgn+FpHdxMHLrJM9cNo17Pp/J/QkL4M0xIJtZG02ow2FXb6OAAS1zUV65YGkFU4Ip5130nNM8/Epg==" saltValue="/eSRT45WAeAZADcWLk4bJA==" spinCount="100000" sheet="1" objects="1" scenarios="1" selectLockedCells="1"/>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M68"/>
  <sheetViews>
    <sheetView showGridLines="0" showRowColHeaders="0" zoomScaleNormal="100" workbookViewId="0">
      <selection activeCell="A4" sqref="A4"/>
    </sheetView>
  </sheetViews>
  <sheetFormatPr defaultRowHeight="15" x14ac:dyDescent="0.25"/>
  <cols>
    <col min="1" max="1" width="120.28515625" customWidth="1"/>
    <col min="6" max="6" width="2.28515625" customWidth="1"/>
    <col min="9" max="9" width="8.85546875" customWidth="1"/>
    <col min="12" max="12" width="6.42578125" customWidth="1"/>
  </cols>
  <sheetData>
    <row r="1" spans="1:4" x14ac:dyDescent="0.25">
      <c r="A1" s="135" t="s">
        <v>404</v>
      </c>
      <c r="D1" s="22"/>
    </row>
    <row r="2" spans="1:4" x14ac:dyDescent="0.25">
      <c r="A2" s="135"/>
      <c r="D2" s="22"/>
    </row>
    <row r="3" spans="1:4" ht="76.5" x14ac:dyDescent="0.25">
      <c r="A3" s="135" t="s">
        <v>424</v>
      </c>
      <c r="D3" s="22"/>
    </row>
    <row r="4" spans="1:4" ht="51" x14ac:dyDescent="0.25">
      <c r="A4" s="135" t="s">
        <v>425</v>
      </c>
      <c r="D4" s="22"/>
    </row>
    <row r="5" spans="1:4" x14ac:dyDescent="0.25">
      <c r="A5" s="135"/>
      <c r="D5" s="22"/>
    </row>
    <row r="6" spans="1:4" x14ac:dyDescent="0.25">
      <c r="A6" s="135" t="s">
        <v>405</v>
      </c>
      <c r="D6" s="22"/>
    </row>
    <row r="7" spans="1:4" ht="38.25" x14ac:dyDescent="0.25">
      <c r="A7" s="135" t="s">
        <v>406</v>
      </c>
      <c r="D7" s="22"/>
    </row>
    <row r="8" spans="1:4" x14ac:dyDescent="0.25">
      <c r="A8" s="135"/>
      <c r="D8" s="22"/>
    </row>
    <row r="9" spans="1:4" ht="25.5" x14ac:dyDescent="0.25">
      <c r="A9" s="136" t="s">
        <v>407</v>
      </c>
      <c r="D9" s="22"/>
    </row>
    <row r="10" spans="1:4" x14ac:dyDescent="0.25">
      <c r="A10" s="136"/>
      <c r="D10" s="22"/>
    </row>
    <row r="11" spans="1:4" ht="76.5" x14ac:dyDescent="0.25">
      <c r="A11" s="135" t="s">
        <v>408</v>
      </c>
      <c r="D11" s="22"/>
    </row>
    <row r="12" spans="1:4" ht="25.5" x14ac:dyDescent="0.25">
      <c r="A12" s="135" t="s">
        <v>409</v>
      </c>
      <c r="D12" s="22"/>
    </row>
    <row r="13" spans="1:4" x14ac:dyDescent="0.25">
      <c r="D13" s="22"/>
    </row>
    <row r="14" spans="1:4" ht="51" x14ac:dyDescent="0.25">
      <c r="A14" s="135" t="s">
        <v>410</v>
      </c>
      <c r="D14" s="22"/>
    </row>
    <row r="15" spans="1:4" x14ac:dyDescent="0.25">
      <c r="A15" s="135"/>
      <c r="D15" s="22"/>
    </row>
    <row r="16" spans="1:4" ht="25.5" x14ac:dyDescent="0.25">
      <c r="A16" s="135" t="s">
        <v>411</v>
      </c>
      <c r="D16" s="22"/>
    </row>
    <row r="17" spans="1:4" x14ac:dyDescent="0.25">
      <c r="A17" s="136"/>
      <c r="D17" s="22"/>
    </row>
    <row r="18" spans="1:4" ht="38.25" x14ac:dyDescent="0.25">
      <c r="A18" s="135" t="s">
        <v>412</v>
      </c>
      <c r="D18" s="22"/>
    </row>
    <row r="19" spans="1:4" x14ac:dyDescent="0.25">
      <c r="A19" s="135"/>
      <c r="D19" s="22"/>
    </row>
    <row r="20" spans="1:4" x14ac:dyDescent="0.25">
      <c r="A20" s="135" t="s">
        <v>413</v>
      </c>
      <c r="D20" s="22"/>
    </row>
    <row r="21" spans="1:4" x14ac:dyDescent="0.25">
      <c r="A21" s="136"/>
      <c r="D21" s="22"/>
    </row>
    <row r="22" spans="1:4" x14ac:dyDescent="0.25">
      <c r="A22" s="136" t="s">
        <v>414</v>
      </c>
      <c r="D22" s="22"/>
    </row>
    <row r="23" spans="1:4" x14ac:dyDescent="0.25">
      <c r="A23" s="135" t="s">
        <v>415</v>
      </c>
      <c r="D23" s="22"/>
    </row>
    <row r="24" spans="1:4" x14ac:dyDescent="0.25">
      <c r="A24" s="136"/>
      <c r="D24" s="22"/>
    </row>
    <row r="25" spans="1:4" x14ac:dyDescent="0.25">
      <c r="A25" s="136" t="s">
        <v>416</v>
      </c>
      <c r="D25" s="22"/>
    </row>
    <row r="26" spans="1:4" x14ac:dyDescent="0.25">
      <c r="A26" s="135" t="s">
        <v>417</v>
      </c>
      <c r="D26" s="22"/>
    </row>
    <row r="27" spans="1:4" x14ac:dyDescent="0.25">
      <c r="A27" s="135"/>
      <c r="D27" s="22"/>
    </row>
    <row r="28" spans="1:4" x14ac:dyDescent="0.25">
      <c r="A28" s="136" t="s">
        <v>418</v>
      </c>
      <c r="D28" s="22"/>
    </row>
    <row r="29" spans="1:4" x14ac:dyDescent="0.25">
      <c r="A29" s="135" t="s">
        <v>415</v>
      </c>
      <c r="D29" s="22"/>
    </row>
    <row r="30" spans="1:4" x14ac:dyDescent="0.25">
      <c r="A30" s="136"/>
      <c r="D30" s="22"/>
    </row>
    <row r="31" spans="1:4" x14ac:dyDescent="0.25">
      <c r="A31" s="136" t="s">
        <v>419</v>
      </c>
      <c r="D31" s="22"/>
    </row>
    <row r="32" spans="1:4" x14ac:dyDescent="0.25">
      <c r="A32" s="135" t="s">
        <v>420</v>
      </c>
      <c r="D32" s="22"/>
    </row>
    <row r="33" spans="1:12" x14ac:dyDescent="0.25">
      <c r="A33" s="136"/>
      <c r="D33" s="22"/>
    </row>
    <row r="34" spans="1:12" ht="25.5" x14ac:dyDescent="0.25">
      <c r="A34" s="135" t="s">
        <v>421</v>
      </c>
      <c r="D34" s="22"/>
    </row>
    <row r="35" spans="1:12" x14ac:dyDescent="0.25">
      <c r="A35" s="135"/>
      <c r="D35" s="22"/>
    </row>
    <row r="36" spans="1:12" ht="38.25" x14ac:dyDescent="0.25">
      <c r="A36" s="135" t="s">
        <v>422</v>
      </c>
      <c r="D36" s="22"/>
    </row>
    <row r="37" spans="1:12" x14ac:dyDescent="0.25">
      <c r="A37" s="135"/>
      <c r="D37" s="22"/>
    </row>
    <row r="38" spans="1:12" ht="25.5" x14ac:dyDescent="0.25">
      <c r="A38" s="135" t="s">
        <v>423</v>
      </c>
      <c r="D38" s="22"/>
    </row>
    <row r="39" spans="1:12" x14ac:dyDescent="0.25">
      <c r="A39" s="135"/>
      <c r="D39" s="22"/>
    </row>
    <row r="40" spans="1:12" x14ac:dyDescent="0.25">
      <c r="D40" s="22"/>
    </row>
    <row r="41" spans="1:12" x14ac:dyDescent="0.25">
      <c r="D41" s="22"/>
    </row>
    <row r="42" spans="1:12" x14ac:dyDescent="0.25">
      <c r="D42" s="22"/>
    </row>
    <row r="43" spans="1:12" x14ac:dyDescent="0.25">
      <c r="D43" s="22"/>
    </row>
    <row r="44" spans="1:12" x14ac:dyDescent="0.25">
      <c r="D44" s="22"/>
    </row>
    <row r="45" spans="1:12" x14ac:dyDescent="0.25">
      <c r="D45" s="22"/>
      <c r="J45" s="45"/>
    </row>
    <row r="46" spans="1:12" x14ac:dyDescent="0.25">
      <c r="D46" s="22"/>
      <c r="L46" s="45"/>
    </row>
    <row r="47" spans="1:12" x14ac:dyDescent="0.25">
      <c r="D47" s="22"/>
    </row>
    <row r="48" spans="1:12" x14ac:dyDescent="0.25">
      <c r="D48" s="22"/>
    </row>
    <row r="49" spans="2:13" x14ac:dyDescent="0.25">
      <c r="D49" s="22"/>
    </row>
    <row r="50" spans="2:13" x14ac:dyDescent="0.25">
      <c r="D50" s="22"/>
    </row>
    <row r="51" spans="2:13" x14ac:dyDescent="0.25">
      <c r="D51" s="22"/>
    </row>
    <row r="52" spans="2:13" x14ac:dyDescent="0.25">
      <c r="D52" s="22"/>
      <c r="M52" s="45"/>
    </row>
    <row r="53" spans="2:13" x14ac:dyDescent="0.25">
      <c r="D53" s="22"/>
    </row>
    <row r="54" spans="2:13" x14ac:dyDescent="0.25">
      <c r="D54" s="22"/>
    </row>
    <row r="55" spans="2:13" x14ac:dyDescent="0.25">
      <c r="D55" s="22"/>
    </row>
    <row r="56" spans="2:13" x14ac:dyDescent="0.25">
      <c r="D56" s="22"/>
    </row>
    <row r="57" spans="2:13" x14ac:dyDescent="0.25">
      <c r="D57" s="22"/>
    </row>
    <row r="58" spans="2:13" x14ac:dyDescent="0.25">
      <c r="B58" s="45"/>
      <c r="D58" s="22"/>
      <c r="G58" s="45"/>
    </row>
    <row r="59" spans="2:13" x14ac:dyDescent="0.25">
      <c r="D59" s="22"/>
    </row>
    <row r="60" spans="2:13" x14ac:dyDescent="0.25">
      <c r="D60" s="22"/>
    </row>
    <row r="61" spans="2:13" x14ac:dyDescent="0.25">
      <c r="D61" s="22"/>
    </row>
    <row r="62" spans="2:13" x14ac:dyDescent="0.25">
      <c r="D62" s="22"/>
    </row>
    <row r="63" spans="2:13" x14ac:dyDescent="0.25">
      <c r="D63" s="22"/>
    </row>
    <row r="64" spans="2:13" x14ac:dyDescent="0.25">
      <c r="D64" s="22"/>
    </row>
    <row r="65" spans="2:4" x14ac:dyDescent="0.25">
      <c r="B65" s="9"/>
      <c r="D65" s="22"/>
    </row>
    <row r="66" spans="2:4" x14ac:dyDescent="0.25">
      <c r="B66" s="9"/>
      <c r="D66" s="22"/>
    </row>
    <row r="67" spans="2:4" x14ac:dyDescent="0.25">
      <c r="D67" s="22"/>
    </row>
    <row r="68" spans="2:4" x14ac:dyDescent="0.25">
      <c r="D68" s="22"/>
    </row>
  </sheetData>
  <sheetProtection algorithmName="SHA-512" hashValue="kzv6OtHnWK58drwpnyf0f+//h0WQNb7twbMbECA9gj2eV4+ikjdTTpLBEdruSybpJwtDBs6OR7GhHEKhEgYsbw==" saltValue="aXYJ12XgoHXcboeF/LDUcA==" spinCount="100000" sheet="1" objects="1" scenarios="1" selectLockedCells="1"/>
  <pageMargins left="0.7" right="0.7" top="0.75" bottom="0.75" header="0.3" footer="0.3"/>
  <pageSetup paperSize="9" scale="71"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dimension ref="A1:AG56"/>
  <sheetViews>
    <sheetView showGridLines="0" showRowColHeaders="0" showZeros="0" zoomScaleNormal="100" workbookViewId="0">
      <selection activeCell="H24" sqref="H24"/>
    </sheetView>
  </sheetViews>
  <sheetFormatPr defaultRowHeight="15" x14ac:dyDescent="0.25"/>
  <cols>
    <col min="1" max="1" width="12.5703125" style="58" customWidth="1"/>
    <col min="2" max="2" width="5.140625" style="58" customWidth="1"/>
    <col min="3" max="3" width="11.140625" style="58" customWidth="1"/>
    <col min="4" max="5" width="9.140625" style="58"/>
    <col min="6" max="6" width="6" style="58" customWidth="1"/>
    <col min="7" max="7" width="9.140625" style="58"/>
    <col min="8" max="8" width="13.140625" style="58" customWidth="1"/>
    <col min="9" max="9" width="11" style="58" customWidth="1"/>
    <col min="10" max="26" width="9.140625" style="58"/>
    <col min="27" max="27" width="9.140625" style="15"/>
    <col min="28" max="16384" width="9.140625" style="58"/>
  </cols>
  <sheetData>
    <row r="1" spans="1:18" x14ac:dyDescent="0.25">
      <c r="C1" s="59" t="str">
        <f>"Reservatievoorstel. "&amp;matrixen!B1</f>
        <v>Reservatievoorstel. Prijzen geldig tot 31/03/2023</v>
      </c>
      <c r="K1" s="55" t="s">
        <v>259</v>
      </c>
      <c r="P1" s="60" t="s">
        <v>260</v>
      </c>
      <c r="Q1" s="61">
        <f>D9</f>
        <v>40.799999999999997</v>
      </c>
    </row>
    <row r="2" spans="1:18" ht="15.75" thickBot="1" x14ac:dyDescent="0.3">
      <c r="A2" s="62" t="s">
        <v>203</v>
      </c>
      <c r="C2" s="58">
        <f>'koud buffet'!F92</f>
        <v>0</v>
      </c>
      <c r="E2" s="59" t="s">
        <v>204</v>
      </c>
      <c r="L2" s="63"/>
      <c r="O2" s="60"/>
      <c r="P2" s="60" t="str">
        <f>IF(Q2&gt;0,"Prijs drankforfait na de maaltijd aan 21% BTW:","")</f>
        <v/>
      </c>
      <c r="Q2" s="61">
        <f>'koud buffet'!D76</f>
        <v>0</v>
      </c>
    </row>
    <row r="3" spans="1:18" ht="15.75" customHeight="1" thickBot="1" x14ac:dyDescent="0.3">
      <c r="A3" s="62" t="s">
        <v>200</v>
      </c>
      <c r="C3" s="58">
        <f>'koud buffet'!F93</f>
        <v>0</v>
      </c>
      <c r="E3" s="59" t="s">
        <v>205</v>
      </c>
      <c r="H3" s="64" t="s">
        <v>209</v>
      </c>
      <c r="I3" s="65">
        <f>'koud buffet'!F90</f>
        <v>0</v>
      </c>
      <c r="L3" s="66"/>
      <c r="M3" s="67" t="s">
        <v>261</v>
      </c>
      <c r="N3" s="67"/>
      <c r="O3" s="142" t="s">
        <v>274</v>
      </c>
      <c r="P3" s="155" t="str">
        <f>IF(Q2&gt;0,"Drank- forfait:","")</f>
        <v/>
      </c>
      <c r="Q3" s="153" t="s">
        <v>262</v>
      </c>
      <c r="R3" s="142" t="s">
        <v>275</v>
      </c>
    </row>
    <row r="4" spans="1:18" ht="15.75" thickBot="1" x14ac:dyDescent="0.3">
      <c r="A4" s="62" t="s">
        <v>201</v>
      </c>
      <c r="C4" s="58">
        <f>'koud buffet'!F94</f>
        <v>0</v>
      </c>
      <c r="E4" s="59" t="s">
        <v>206</v>
      </c>
      <c r="H4" s="64" t="s">
        <v>198</v>
      </c>
      <c r="I4" s="65">
        <f>'koud buffet'!F91</f>
        <v>0</v>
      </c>
      <c r="K4" s="65" t="s">
        <v>263</v>
      </c>
      <c r="L4" s="80" t="s">
        <v>264</v>
      </c>
      <c r="M4" s="65" t="s">
        <v>389</v>
      </c>
      <c r="N4" s="80" t="s">
        <v>265</v>
      </c>
      <c r="O4" s="143"/>
      <c r="P4" s="156"/>
      <c r="Q4" s="154"/>
      <c r="R4" s="143"/>
    </row>
    <row r="5" spans="1:18" x14ac:dyDescent="0.25">
      <c r="A5" s="62" t="s">
        <v>202</v>
      </c>
      <c r="C5" s="58">
        <f>'koud buffet'!F95</f>
        <v>0</v>
      </c>
      <c r="E5" s="58" t="s">
        <v>243</v>
      </c>
      <c r="J5" s="58" t="s">
        <v>266</v>
      </c>
      <c r="K5" s="68">
        <f>C9</f>
        <v>10</v>
      </c>
      <c r="L5" s="81">
        <f>Q1-Q2</f>
        <v>40.799999999999997</v>
      </c>
      <c r="M5" s="69">
        <f>ROUND(L5*0.65,2)</f>
        <v>26.52</v>
      </c>
      <c r="N5" s="82">
        <f>L5-M5</f>
        <v>14.279999999999998</v>
      </c>
      <c r="O5" s="83">
        <f>K5*M5</f>
        <v>265.2</v>
      </c>
      <c r="P5" s="84">
        <f>Q2</f>
        <v>0</v>
      </c>
      <c r="Q5" s="69">
        <f>N5+P5</f>
        <v>14.279999999999998</v>
      </c>
      <c r="R5" s="83">
        <f>K5*Q5</f>
        <v>142.79999999999998</v>
      </c>
    </row>
    <row r="6" spans="1:18" x14ac:dyDescent="0.25">
      <c r="A6" s="62" t="str">
        <f>'koud buffet'!J103</f>
        <v>reden feest:</v>
      </c>
      <c r="B6" s="70">
        <f>'koud buffet'!K103</f>
        <v>0</v>
      </c>
      <c r="C6" s="71"/>
      <c r="D6" s="71"/>
      <c r="E6" s="72" t="s">
        <v>207</v>
      </c>
      <c r="J6" s="58" t="s">
        <v>267</v>
      </c>
      <c r="K6" s="68">
        <f>C10</f>
        <v>0</v>
      </c>
      <c r="L6" s="81">
        <f>D10-P6</f>
        <v>20.399999999999999</v>
      </c>
      <c r="M6" s="69">
        <f>ROUND(L6*0.65,2)</f>
        <v>13.26</v>
      </c>
      <c r="N6" s="82">
        <f>L6-M6</f>
        <v>7.1399999999999988</v>
      </c>
      <c r="O6" s="83">
        <f>K6*M6</f>
        <v>0</v>
      </c>
      <c r="P6" s="84">
        <f>ROUND(Q2/2,2)</f>
        <v>0</v>
      </c>
      <c r="Q6" s="69">
        <f>N6+P6</f>
        <v>7.1399999999999988</v>
      </c>
      <c r="R6" s="83">
        <f>K6*Q6</f>
        <v>0</v>
      </c>
    </row>
    <row r="7" spans="1:18" x14ac:dyDescent="0.25">
      <c r="A7" s="59" t="s">
        <v>208</v>
      </c>
      <c r="C7" s="73">
        <f>'koud buffet'!F83</f>
        <v>0</v>
      </c>
      <c r="E7" s="62" t="s">
        <v>309</v>
      </c>
      <c r="F7" s="58">
        <f>'koud buffet'!F96</f>
        <v>0</v>
      </c>
      <c r="H7" s="60"/>
      <c r="I7" s="74"/>
      <c r="J7" s="58" t="s">
        <v>268</v>
      </c>
      <c r="K7" s="68">
        <f>C11</f>
        <v>0</v>
      </c>
      <c r="L7" s="81">
        <f>D11-P7</f>
        <v>13.6</v>
      </c>
      <c r="M7" s="69">
        <f>ROUND(L7*0.65,2)</f>
        <v>8.84</v>
      </c>
      <c r="N7" s="82">
        <f>L7-M7</f>
        <v>4.76</v>
      </c>
      <c r="O7" s="83">
        <f>K7*M7</f>
        <v>0</v>
      </c>
      <c r="P7" s="84">
        <f>ROUND(Q2/3,2)</f>
        <v>0</v>
      </c>
      <c r="Q7" s="69">
        <f>N7+P7</f>
        <v>4.76</v>
      </c>
      <c r="R7" s="83">
        <f>K7*Q7</f>
        <v>0</v>
      </c>
    </row>
    <row r="8" spans="1:18" ht="15.75" thickBot="1" x14ac:dyDescent="0.3">
      <c r="C8" s="64" t="s">
        <v>284</v>
      </c>
      <c r="D8" s="63">
        <f>C9+C12+C11+C10</f>
        <v>10</v>
      </c>
      <c r="E8" s="60"/>
      <c r="H8" s="60" t="s">
        <v>227</v>
      </c>
      <c r="I8" s="74">
        <f>C9*D9+C10*D10+C11*D11+C12*D12</f>
        <v>408</v>
      </c>
      <c r="J8" s="58" t="s">
        <v>269</v>
      </c>
      <c r="K8" s="68">
        <f>C12</f>
        <v>0</v>
      </c>
      <c r="L8" s="85">
        <f>E12</f>
        <v>0</v>
      </c>
      <c r="M8" s="86">
        <f>L8*0.65</f>
        <v>0</v>
      </c>
      <c r="N8" s="87">
        <f>L8*0.35</f>
        <v>0</v>
      </c>
      <c r="O8" s="88">
        <f>K8*M8</f>
        <v>0</v>
      </c>
      <c r="P8" s="89"/>
      <c r="Q8" s="68">
        <f>N8+P8</f>
        <v>0</v>
      </c>
      <c r="R8" s="88">
        <f>K8*Q8</f>
        <v>0</v>
      </c>
    </row>
    <row r="9" spans="1:18" ht="15.75" thickBot="1" x14ac:dyDescent="0.3">
      <c r="B9" s="64" t="s">
        <v>210</v>
      </c>
      <c r="C9" s="65">
        <f>'koud buffet'!F85</f>
        <v>10</v>
      </c>
      <c r="D9" s="61">
        <f>'koud buffet'!D7</f>
        <v>40.799999999999997</v>
      </c>
      <c r="H9" s="60" t="s">
        <v>228</v>
      </c>
      <c r="I9" s="74">
        <f>'koud buffet'!F98</f>
        <v>0</v>
      </c>
      <c r="L9" s="90" t="s">
        <v>276</v>
      </c>
      <c r="M9" s="91"/>
      <c r="O9" s="108">
        <f>ROUND(M9/98*100,2)</f>
        <v>0</v>
      </c>
      <c r="P9" s="92" t="str">
        <f>IF(Q9&gt;0,"Huur zaal/exclusiviteit: ","")</f>
        <v xml:space="preserve">Huur zaal/exclusiviteit: </v>
      </c>
      <c r="Q9" s="69">
        <f>I10+I11</f>
        <v>1592</v>
      </c>
    </row>
    <row r="10" spans="1:18" ht="15.75" thickBot="1" x14ac:dyDescent="0.3">
      <c r="B10" s="64" t="s">
        <v>211</v>
      </c>
      <c r="C10" s="65">
        <f>'koud buffet'!F86</f>
        <v>0</v>
      </c>
      <c r="D10" s="61">
        <f>'koud buffet'!J7</f>
        <v>20.399999999999999</v>
      </c>
      <c r="H10" s="60" t="s">
        <v>229</v>
      </c>
      <c r="I10" s="74">
        <f>IF(D8=0,0,IF((I8+I9)&lt;matrixen!E6,matrixen!E6-Reservatievoorstel!I8-Reservatievoorstel!I9,0))</f>
        <v>842</v>
      </c>
      <c r="L10" s="60" t="s">
        <v>277</v>
      </c>
      <c r="M10" s="144"/>
      <c r="N10" s="145"/>
    </row>
    <row r="11" spans="1:18" x14ac:dyDescent="0.25">
      <c r="B11" s="64" t="s">
        <v>212</v>
      </c>
      <c r="C11" s="65">
        <f>'koud buffet'!F87</f>
        <v>0</v>
      </c>
      <c r="D11" s="61">
        <f>'koud buffet'!H7</f>
        <v>13.6</v>
      </c>
      <c r="H11" s="60" t="str">
        <f>IF(I11&gt;0,"U koos voor exclusiviteit:","")</f>
        <v>U koos voor exclusiviteit:</v>
      </c>
      <c r="I11" s="74">
        <f>'koud buffet'!L74</f>
        <v>750</v>
      </c>
      <c r="J11" s="14"/>
      <c r="L11" s="60" t="str">
        <f>IF(O9&gt;0,"Voorschot uitgesplitst:","")</f>
        <v/>
      </c>
      <c r="M11" s="61" t="str">
        <f>IF(O9&gt;0," € "&amp;ROUND(O9*0.65,2)&amp; " x 12% =&gt; Dep. B  en € " &amp; ROUND(O9*0.35,2) &amp; " x 21% =&gt; Dep. A.","")</f>
        <v/>
      </c>
      <c r="N11" s="61"/>
    </row>
    <row r="12" spans="1:18" ht="15.75" thickBot="1" x14ac:dyDescent="0.3">
      <c r="B12" s="64" t="s">
        <v>213</v>
      </c>
      <c r="C12" s="65">
        <f>'koud buffet'!F88</f>
        <v>0</v>
      </c>
      <c r="D12" s="75" t="str">
        <f>'koud buffet'!F7</f>
        <v>0,00</v>
      </c>
      <c r="H12" s="60" t="s">
        <v>272</v>
      </c>
      <c r="I12" s="74">
        <f>I10+I9+I8+I11</f>
        <v>2000</v>
      </c>
      <c r="M12" s="60" t="s">
        <v>278</v>
      </c>
      <c r="N12" s="65">
        <f>IF(O9&gt;0,ROUNDUP((O9+1)/L5,0),0)</f>
        <v>0</v>
      </c>
      <c r="O12" s="61" t="s">
        <v>279</v>
      </c>
    </row>
    <row r="13" spans="1:18" ht="15.75" thickBot="1" x14ac:dyDescent="0.3">
      <c r="H13" s="60" t="s">
        <v>246</v>
      </c>
      <c r="I13" s="74">
        <f>'koud buffet'!G104</f>
        <v>1960</v>
      </c>
      <c r="J13" s="146" t="s">
        <v>280</v>
      </c>
      <c r="K13" s="147"/>
      <c r="L13" s="148"/>
      <c r="M13" s="149" t="str">
        <f>IF(O9*0.65 &gt;N12*M5,"ONMOGELIJK U bekomt negatieve waarden.","")</f>
        <v/>
      </c>
      <c r="N13" s="149"/>
      <c r="O13" s="149"/>
      <c r="P13" s="149"/>
      <c r="Q13" s="149"/>
      <c r="R13" s="93"/>
    </row>
    <row r="14" spans="1:18" x14ac:dyDescent="0.25">
      <c r="A14" s="76" t="s">
        <v>214</v>
      </c>
      <c r="D14" s="139" t="str">
        <f>'koud buffet'!K102</f>
        <v>geen voorkeur</v>
      </c>
      <c r="E14" s="139"/>
      <c r="F14" s="139"/>
      <c r="G14" s="139"/>
      <c r="H14" s="139"/>
      <c r="J14" s="94">
        <f>N12</f>
        <v>0</v>
      </c>
      <c r="K14" s="95" t="s">
        <v>281</v>
      </c>
      <c r="L14" s="95" t="s">
        <v>273</v>
      </c>
      <c r="M14" s="96" t="str">
        <f>IFERROR(ROUND(M5-O9*0.65/N12,2),"")</f>
        <v/>
      </c>
      <c r="N14" s="97">
        <v>0.12</v>
      </c>
      <c r="O14" s="96" t="str">
        <f>IFERROR(J14*M14,"")</f>
        <v/>
      </c>
      <c r="P14" s="98" t="s">
        <v>274</v>
      </c>
      <c r="Q14" s="99" t="s">
        <v>282</v>
      </c>
      <c r="R14" s="100"/>
    </row>
    <row r="15" spans="1:18" x14ac:dyDescent="0.25">
      <c r="A15" s="58" t="str">
        <f>'koud buffet'!H84</f>
        <v/>
      </c>
      <c r="B15" s="59"/>
      <c r="I15" s="64" t="str">
        <f>'koud buffet'!B20</f>
        <v>De gast die niet inbegrepen aperitief bestelt betaalt deze zelf (vb: sterke drank)</v>
      </c>
      <c r="J15" s="150" t="str">
        <f>IFERROR( " Er wordt € " &amp; ROUND(O9*0.65/N12,2) &amp; " minder geboekt bij " &amp; N12 &amp; " personen omdat dit reeds als voorschot werd geboekt.","")</f>
        <v/>
      </c>
      <c r="K15" s="151"/>
      <c r="L15" s="151"/>
      <c r="M15" s="151"/>
      <c r="N15" s="151"/>
      <c r="O15" s="151"/>
      <c r="P15" s="151"/>
      <c r="Q15" s="151"/>
      <c r="R15" s="152"/>
    </row>
    <row r="16" spans="1:18" x14ac:dyDescent="0.25">
      <c r="A16" s="14" t="str">
        <f>'koud buffet'!H85</f>
        <v/>
      </c>
      <c r="I16" s="64" t="str">
        <f>IF(O9&gt;0," Uw voorschot van € " &amp; O9 &amp; " wordt nog in mindering gebracht","")</f>
        <v/>
      </c>
      <c r="J16" s="101">
        <f>N12</f>
        <v>0</v>
      </c>
      <c r="K16" s="98" t="s">
        <v>281</v>
      </c>
      <c r="L16" s="98" t="s">
        <v>273</v>
      </c>
      <c r="M16" s="96" t="str">
        <f>IFERROR(ROUND(Q5-O9*0.35/N12,2),"")</f>
        <v/>
      </c>
      <c r="N16" s="97">
        <v>0.21</v>
      </c>
      <c r="O16" s="96" t="str">
        <f>IFERROR(J16*M16,"")</f>
        <v/>
      </c>
      <c r="P16" s="98" t="s">
        <v>275</v>
      </c>
      <c r="Q16" s="99" t="s">
        <v>282</v>
      </c>
      <c r="R16" s="100"/>
    </row>
    <row r="17" spans="1:33" x14ac:dyDescent="0.25">
      <c r="A17" s="58" t="str">
        <f>'koud buffet'!H86</f>
        <v/>
      </c>
      <c r="J17" s="150" t="str">
        <f>IFERROR( " Er wordt € " &amp; ROUND(O9*0.35/N12,2) &amp; " minder geboekt bij " &amp; N12 &amp; " personen omdat dit reeds als voorschot werd geboekt.","")</f>
        <v/>
      </c>
      <c r="K17" s="151"/>
      <c r="L17" s="151"/>
      <c r="M17" s="151"/>
      <c r="N17" s="151"/>
      <c r="O17" s="151"/>
      <c r="P17" s="151"/>
      <c r="Q17" s="151"/>
      <c r="R17" s="152"/>
    </row>
    <row r="18" spans="1:33" x14ac:dyDescent="0.25">
      <c r="A18" s="58" t="str">
        <f>'koud buffet'!H87</f>
        <v/>
      </c>
      <c r="I18" s="77"/>
      <c r="J18" s="101">
        <f>K5-J14</f>
        <v>10</v>
      </c>
      <c r="K18" s="98" t="str">
        <f>K14</f>
        <v>vol</v>
      </c>
      <c r="L18" s="98" t="s">
        <v>273</v>
      </c>
      <c r="M18" s="96">
        <f>M5</f>
        <v>26.52</v>
      </c>
      <c r="N18" s="97">
        <f>N14</f>
        <v>0.12</v>
      </c>
      <c r="O18" s="96">
        <f t="shared" ref="O18:O23" si="0">J18*M18</f>
        <v>265.2</v>
      </c>
      <c r="P18" s="98" t="s">
        <v>274</v>
      </c>
      <c r="Q18" s="77"/>
      <c r="R18" s="100"/>
    </row>
    <row r="19" spans="1:33" x14ac:dyDescent="0.25">
      <c r="A19" s="58" t="str">
        <f>'koud buffet'!H88</f>
        <v/>
      </c>
      <c r="I19" s="163" t="str">
        <f>'koud buffet'!G73</f>
        <v>Keuze achtergrondmuziek:</v>
      </c>
      <c r="J19" s="101">
        <f>K5-J16</f>
        <v>10</v>
      </c>
      <c r="K19" s="98" t="str">
        <f>K16</f>
        <v>vol</v>
      </c>
      <c r="L19" s="98" t="s">
        <v>273</v>
      </c>
      <c r="M19" s="96">
        <f>Q5</f>
        <v>14.279999999999998</v>
      </c>
      <c r="N19" s="97">
        <v>0.21</v>
      </c>
      <c r="O19" s="96">
        <f t="shared" si="0"/>
        <v>142.79999999999998</v>
      </c>
      <c r="P19" s="98" t="s">
        <v>275</v>
      </c>
      <c r="Q19" s="77"/>
      <c r="R19" s="100"/>
    </row>
    <row r="20" spans="1:33" x14ac:dyDescent="0.25">
      <c r="A20" s="58" t="str">
        <f>'koud buffet'!H89</f>
        <v/>
      </c>
      <c r="I20" s="163" t="str">
        <f>'koud buffet'!H73</f>
        <v>Geen voorkeur</v>
      </c>
      <c r="J20" s="101">
        <f>K6</f>
        <v>0</v>
      </c>
      <c r="K20" s="98" t="str">
        <f>J6</f>
        <v>JR 1/2</v>
      </c>
      <c r="L20" s="98" t="s">
        <v>273</v>
      </c>
      <c r="M20" s="96">
        <f>M6</f>
        <v>13.26</v>
      </c>
      <c r="N20" s="97">
        <f>N14</f>
        <v>0.12</v>
      </c>
      <c r="O20" s="96">
        <f t="shared" si="0"/>
        <v>0</v>
      </c>
      <c r="P20" s="98" t="s">
        <v>274</v>
      </c>
      <c r="Q20" s="77"/>
      <c r="R20" s="100"/>
    </row>
    <row r="21" spans="1:33" x14ac:dyDescent="0.25">
      <c r="A21" s="78" t="str">
        <f>'koud buffet'!H90</f>
        <v/>
      </c>
      <c r="B21" s="78"/>
      <c r="C21" s="78"/>
      <c r="D21" s="78"/>
      <c r="E21" s="78"/>
      <c r="F21" s="78"/>
      <c r="G21" s="78"/>
      <c r="H21" s="78"/>
      <c r="I21" s="78">
        <f>VLOOKUP(I20,matrixen!A500:B523,2,FALSE)</f>
        <v>0</v>
      </c>
      <c r="J21" s="101">
        <f>K6</f>
        <v>0</v>
      </c>
      <c r="K21" s="98" t="str">
        <f>J6</f>
        <v>JR 1/2</v>
      </c>
      <c r="L21" s="98" t="s">
        <v>273</v>
      </c>
      <c r="M21" s="96">
        <f>Q6</f>
        <v>7.1399999999999988</v>
      </c>
      <c r="N21" s="97">
        <v>0.21</v>
      </c>
      <c r="O21" s="96">
        <f t="shared" si="0"/>
        <v>0</v>
      </c>
      <c r="P21" s="98" t="s">
        <v>275</v>
      </c>
      <c r="Q21" s="77"/>
      <c r="R21" s="100"/>
    </row>
    <row r="22" spans="1:33" x14ac:dyDescent="0.25">
      <c r="A22" s="58" t="str">
        <f>'koud buffet'!H91</f>
        <v>Koude aardappelen</v>
      </c>
      <c r="G22" s="58" t="str">
        <f>'koud buffet'!H92</f>
        <v xml:space="preserve">Groenten en sausen </v>
      </c>
      <c r="J22" s="101">
        <f>K7</f>
        <v>0</v>
      </c>
      <c r="K22" s="98" t="str">
        <f>J7</f>
        <v>JR 1/3</v>
      </c>
      <c r="L22" s="98" t="s">
        <v>273</v>
      </c>
      <c r="M22" s="96">
        <f>M7</f>
        <v>8.84</v>
      </c>
      <c r="N22" s="97">
        <f>N14</f>
        <v>0.12</v>
      </c>
      <c r="O22" s="96">
        <f t="shared" si="0"/>
        <v>0</v>
      </c>
      <c r="P22" s="98" t="s">
        <v>274</v>
      </c>
      <c r="Q22" s="77"/>
      <c r="R22" s="100"/>
    </row>
    <row r="23" spans="1:33" x14ac:dyDescent="0.25">
      <c r="A23" s="58" t="s">
        <v>222</v>
      </c>
      <c r="E23" s="77" t="str">
        <f>IF('koud buffet'!B50=$AG$23,"",'koud buffet'!B50)</f>
        <v/>
      </c>
      <c r="I23" s="58" t="str">
        <f>IF('koud buffet'!F50=$AG$25,"",'koud buffet'!F50)</f>
        <v/>
      </c>
      <c r="J23" s="102">
        <f>K7</f>
        <v>0</v>
      </c>
      <c r="K23" s="98" t="str">
        <f>J7</f>
        <v>JR 1/3</v>
      </c>
      <c r="L23" s="98" t="s">
        <v>273</v>
      </c>
      <c r="M23" s="96">
        <f>Q7</f>
        <v>4.76</v>
      </c>
      <c r="N23" s="97">
        <v>0.21</v>
      </c>
      <c r="O23" s="96">
        <f t="shared" si="0"/>
        <v>0</v>
      </c>
      <c r="P23" s="98" t="s">
        <v>275</v>
      </c>
      <c r="Q23" s="77"/>
      <c r="R23" s="100"/>
      <c r="AG23" s="15" t="str">
        <f>matrixen!B97</f>
        <v>Kies uit deze vlees- of visspecialiteiten</v>
      </c>
    </row>
    <row r="24" spans="1:33" ht="15.75" thickBot="1" x14ac:dyDescent="0.3">
      <c r="A24" s="58" t="str">
        <f>IF('koud buffet'!B39=$AG$23,"",'koud buffet'!B39)</f>
        <v/>
      </c>
      <c r="E24" s="58" t="str">
        <f>IF('koud buffet'!F39=$AG$24,"",'koud buffet'!F39)</f>
        <v/>
      </c>
      <c r="I24" s="58" t="str">
        <f>IF('koud buffet'!F51=$AG$25,"",'koud buffet'!F51)</f>
        <v/>
      </c>
      <c r="J24" s="103" t="str">
        <f>IF(L24&gt;0,"1",0)</f>
        <v>1</v>
      </c>
      <c r="K24" s="104" t="str">
        <f>IF(L24&gt;0,"x","")</f>
        <v>x</v>
      </c>
      <c r="L24" s="105">
        <f>Q9</f>
        <v>1592</v>
      </c>
      <c r="M24" s="106" t="str">
        <f>IF(L24&gt;0,"21%","")</f>
        <v>21%</v>
      </c>
      <c r="N24" s="104" t="str">
        <f>IF(L24&gt;0,"Dep. A","")</f>
        <v>Dep. A</v>
      </c>
      <c r="O24" s="157" t="str">
        <f>P9</f>
        <v xml:space="preserve">Huur zaal/exclusiviteit: </v>
      </c>
      <c r="P24" s="157"/>
      <c r="Q24" s="157"/>
      <c r="R24" s="158"/>
      <c r="AG24" s="15" t="str">
        <f>matrixen!E97</f>
        <v>supplement 1</v>
      </c>
    </row>
    <row r="25" spans="1:33" x14ac:dyDescent="0.25">
      <c r="A25" s="58" t="str">
        <f>IF('koud buffet'!B40=$AG$23,"",'koud buffet'!B40)</f>
        <v/>
      </c>
      <c r="E25" s="58" t="str">
        <f>IF('koud buffet'!F40=$AG$24,"",'koud buffet'!F40)</f>
        <v/>
      </c>
      <c r="I25" s="58" t="str">
        <f>IF('koud buffet'!F52=$AG$25,"",'koud buffet'!F52)</f>
        <v/>
      </c>
      <c r="K25" s="107" t="s">
        <v>283</v>
      </c>
      <c r="L25" s="61">
        <f>SUM(O14:O23)+L24+O9+I9</f>
        <v>2000</v>
      </c>
      <c r="M25" s="61" t="str">
        <f>IF(SUM(O14:O23)+L24+O9+I9 &lt;&gt;I12," Er is iets fout met de splitsingstabel","")</f>
        <v/>
      </c>
      <c r="AG25" s="15" t="str">
        <f>matrixen!H97</f>
        <v>supplement 2</v>
      </c>
    </row>
    <row r="26" spans="1:33" ht="15" customHeight="1" x14ac:dyDescent="0.25">
      <c r="A26" s="58" t="str">
        <f>IF('koud buffet'!B41=$AG$23,"",'koud buffet'!B41)</f>
        <v/>
      </c>
      <c r="E26" s="58" t="str">
        <f>IF('koud buffet'!F41=$AG$24,"",'koud buffet'!F41)</f>
        <v/>
      </c>
      <c r="I26" s="46"/>
      <c r="J26" s="140" t="str">
        <f>"De eventuele korting contant van 2 %, in het huidig voorstel is dit € " &amp;ROUND( I12-I13,2) &amp; " is nog niet in bovenstaande splitsing verwerkt."</f>
        <v>De eventuele korting contant van 2 %, in het huidig voorstel is dit € 40 is nog niet in bovenstaande splitsing verwerkt.</v>
      </c>
      <c r="K26" s="140"/>
      <c r="L26" s="140"/>
      <c r="M26" s="140"/>
      <c r="N26" s="140"/>
      <c r="O26" s="140"/>
      <c r="P26" s="140"/>
      <c r="Q26" s="140"/>
      <c r="R26" s="140"/>
    </row>
    <row r="27" spans="1:33" ht="15.75" thickBot="1" x14ac:dyDescent="0.3">
      <c r="A27" s="58" t="str">
        <f>IF('koud buffet'!B42=$AG$23,"",'koud buffet'!B42)</f>
        <v/>
      </c>
      <c r="E27" s="58" t="str">
        <f>IF('koud buffet'!F42=$AG$24,"",'koud buffet'!F42)</f>
        <v/>
      </c>
      <c r="I27" s="77"/>
      <c r="J27" s="141"/>
      <c r="K27" s="141"/>
      <c r="L27" s="141"/>
      <c r="M27" s="141"/>
      <c r="N27" s="141"/>
      <c r="O27" s="141"/>
      <c r="P27" s="141"/>
      <c r="Q27" s="141"/>
      <c r="R27" s="141"/>
    </row>
    <row r="28" spans="1:33" ht="15.75" thickTop="1" x14ac:dyDescent="0.25">
      <c r="A28" s="58" t="str">
        <f>IF('koud buffet'!B43=$AG$23,"",'koud buffet'!B43)</f>
        <v/>
      </c>
      <c r="E28" s="58" t="str">
        <f>IF('koud buffet'!F43=$AG$24,"",'koud buffet'!F43)</f>
        <v/>
      </c>
      <c r="I28" s="77"/>
      <c r="J28" s="14" t="str">
        <f>IF(M28&lt;&gt;"","Detail van het aperitief:","")</f>
        <v/>
      </c>
      <c r="M28" s="58" t="str">
        <f>A15</f>
        <v/>
      </c>
      <c r="R28" s="60">
        <f>'koud buffet'!F13</f>
        <v>0</v>
      </c>
    </row>
    <row r="29" spans="1:33" x14ac:dyDescent="0.25">
      <c r="A29" s="58" t="str">
        <f>IF('koud buffet'!B44=$AG$23,"",'koud buffet'!B44)</f>
        <v/>
      </c>
      <c r="E29" s="58" t="str">
        <f>IF('koud buffet'!F44=$AG$24,"",'koud buffet'!F44)</f>
        <v/>
      </c>
      <c r="I29" s="77"/>
      <c r="R29" s="60">
        <f>'koud buffet'!F14</f>
        <v>0</v>
      </c>
    </row>
    <row r="30" spans="1:33" x14ac:dyDescent="0.25">
      <c r="A30" s="58" t="str">
        <f>IF('koud buffet'!B45=$AG$23,"",'koud buffet'!B45)</f>
        <v/>
      </c>
      <c r="E30" s="58" t="str">
        <f>IF('koud buffet'!F45=$AG$24,"",'koud buffet'!F45)</f>
        <v/>
      </c>
      <c r="I30" s="77"/>
      <c r="J30" s="58">
        <f>'koud buffet'!G13</f>
        <v>0</v>
      </c>
      <c r="R30" s="60">
        <f>'koud buffet'!F15</f>
        <v>0</v>
      </c>
    </row>
    <row r="31" spans="1:33" x14ac:dyDescent="0.25">
      <c r="A31" s="58" t="str">
        <f>IF('koud buffet'!B46=$AG$23,"",'koud buffet'!B46)</f>
        <v/>
      </c>
      <c r="E31" s="58" t="str">
        <f>IF('koud buffet'!F46=$AG$24,"",'koud buffet'!F46)</f>
        <v/>
      </c>
      <c r="I31" s="77"/>
      <c r="J31" s="58">
        <f>'koud buffet'!G14</f>
        <v>0</v>
      </c>
      <c r="R31" s="60">
        <f>'koud buffet'!F16</f>
        <v>0</v>
      </c>
    </row>
    <row r="32" spans="1:33" x14ac:dyDescent="0.25">
      <c r="A32" s="58" t="str">
        <f>IF('koud buffet'!B47=$AG$23,"",'koud buffet'!B47)</f>
        <v/>
      </c>
      <c r="E32" s="58" t="str">
        <f>IF('koud buffet'!F47=$AG$24,"",'koud buffet'!F47)</f>
        <v/>
      </c>
      <c r="J32" s="58">
        <f>'koud buffet'!G15</f>
        <v>0</v>
      </c>
      <c r="R32" s="60">
        <f>'koud buffet'!F17</f>
        <v>0</v>
      </c>
    </row>
    <row r="33" spans="1:18" x14ac:dyDescent="0.25">
      <c r="A33" s="77" t="str">
        <f>IF('koud buffet'!B48=$AG$23,"",'koud buffet'!B48)</f>
        <v/>
      </c>
      <c r="B33" s="77"/>
      <c r="C33" s="77"/>
      <c r="D33" s="77"/>
      <c r="E33" s="161" t="str">
        <f>'koud buffet'!H96</f>
        <v>Huiswijn, bieren en frisdranken als forfait</v>
      </c>
      <c r="F33" s="161"/>
      <c r="G33" s="161"/>
      <c r="H33" s="161"/>
      <c r="I33" s="161"/>
      <c r="J33" s="58">
        <f>'koud buffet'!G16</f>
        <v>0</v>
      </c>
      <c r="R33" s="60">
        <f>'koud buffet'!F18</f>
        <v>0</v>
      </c>
    </row>
    <row r="34" spans="1:18" x14ac:dyDescent="0.25">
      <c r="A34" s="78" t="str">
        <f>IF('koud buffet'!B49=$AG$23,"",'koud buffet'!B49)</f>
        <v/>
      </c>
      <c r="B34" s="78"/>
      <c r="C34" s="78"/>
      <c r="D34" s="78"/>
      <c r="E34" s="162"/>
      <c r="F34" s="162"/>
      <c r="G34" s="162"/>
      <c r="H34" s="162"/>
      <c r="I34" s="162"/>
      <c r="J34" s="58">
        <f>'koud buffet'!G17</f>
        <v>0</v>
      </c>
    </row>
    <row r="35" spans="1:18" x14ac:dyDescent="0.25">
      <c r="A35" s="58" t="str">
        <f>'koud buffet'!H97</f>
        <v/>
      </c>
      <c r="I35" s="77"/>
      <c r="J35" s="58">
        <f>'koud buffet'!G18</f>
        <v>0</v>
      </c>
    </row>
    <row r="36" spans="1:18" x14ac:dyDescent="0.25">
      <c r="A36" s="159" t="str">
        <f>'koud buffet'!H98</f>
        <v/>
      </c>
      <c r="B36" s="159"/>
      <c r="C36" s="159"/>
      <c r="D36" s="78"/>
      <c r="E36" s="78"/>
      <c r="F36" s="78"/>
      <c r="G36" s="78"/>
      <c r="H36" s="78"/>
      <c r="I36" s="78"/>
      <c r="J36" s="58">
        <f>'koud buffet'!G19</f>
        <v>0</v>
      </c>
    </row>
    <row r="37" spans="1:18" x14ac:dyDescent="0.25">
      <c r="A37" s="160" t="str">
        <f>'koud buffet'!H99  &amp; " " &amp; 'koud buffet'!B76</f>
        <v>Keuze drank na de maaltijd: Alle drank na de maaltijd komt op één rekening en wordt door de organisator van het feest betaald</v>
      </c>
      <c r="B37" s="160"/>
      <c r="C37" s="160"/>
      <c r="D37" s="160"/>
      <c r="E37" s="160"/>
      <c r="F37" s="160"/>
      <c r="G37" s="160"/>
      <c r="H37" s="160"/>
      <c r="I37" s="160"/>
      <c r="J37" s="58">
        <f>'koud buffet'!G20</f>
        <v>0</v>
      </c>
    </row>
    <row r="38" spans="1:18" x14ac:dyDescent="0.25">
      <c r="A38" s="140"/>
      <c r="B38" s="140"/>
      <c r="C38" s="140"/>
      <c r="D38" s="140"/>
      <c r="E38" s="140"/>
      <c r="F38" s="140"/>
      <c r="G38" s="140"/>
      <c r="H38" s="140"/>
      <c r="I38" s="140"/>
      <c r="J38" s="58">
        <f>'koud buffet'!G21</f>
        <v>0</v>
      </c>
    </row>
    <row r="39" spans="1:18" x14ac:dyDescent="0.25">
      <c r="A39" s="140" t="str">
        <f>"Opmerking : " &amp;'koud buffet'!K104</f>
        <v xml:space="preserve">Opmerking : </v>
      </c>
      <c r="B39" s="140"/>
      <c r="C39" s="140"/>
      <c r="D39" s="140"/>
      <c r="E39" s="140"/>
      <c r="F39" s="140"/>
      <c r="G39" s="140"/>
      <c r="H39" s="140"/>
      <c r="I39" s="140"/>
      <c r="J39" s="58">
        <f>'koud buffet'!G22</f>
        <v>0</v>
      </c>
    </row>
    <row r="40" spans="1:18" ht="15" customHeight="1" x14ac:dyDescent="0.25">
      <c r="A40" s="140"/>
      <c r="B40" s="140"/>
      <c r="C40" s="140"/>
      <c r="D40" s="140"/>
      <c r="E40" s="140"/>
      <c r="F40" s="140"/>
      <c r="G40" s="140"/>
      <c r="H40" s="140"/>
      <c r="I40" s="140"/>
      <c r="J40" s="58">
        <f>'koud buffet'!G23</f>
        <v>0</v>
      </c>
    </row>
    <row r="41" spans="1:18" x14ac:dyDescent="0.25">
      <c r="A41" s="140"/>
      <c r="B41" s="140"/>
      <c r="C41" s="140"/>
      <c r="D41" s="140"/>
      <c r="E41" s="140"/>
      <c r="F41" s="140"/>
      <c r="G41" s="140"/>
      <c r="H41" s="140"/>
      <c r="I41" s="140"/>
      <c r="J41" s="58" t="str">
        <f>'koud buffet'!G24</f>
        <v/>
      </c>
    </row>
    <row r="42" spans="1:18" x14ac:dyDescent="0.25">
      <c r="B42" s="60" t="s">
        <v>174</v>
      </c>
      <c r="C42" s="65" t="str">
        <f>'koud buffet'!G76</f>
        <v>nee</v>
      </c>
      <c r="F42" s="60" t="s">
        <v>178</v>
      </c>
      <c r="G42" s="65" t="str">
        <f>'koud buffet'!G78</f>
        <v>nee</v>
      </c>
      <c r="I42" s="60" t="s">
        <v>177</v>
      </c>
      <c r="J42" s="58">
        <f>'koud buffet'!G25</f>
        <v>0</v>
      </c>
    </row>
    <row r="43" spans="1:18" x14ac:dyDescent="0.25">
      <c r="B43" s="60" t="s">
        <v>176</v>
      </c>
      <c r="C43" s="65" t="str">
        <f>'koud buffet'!I76</f>
        <v>nee</v>
      </c>
      <c r="F43" s="60" t="str">
        <f>'koud buffet'!H78</f>
        <v xml:space="preserve">Allergenen: </v>
      </c>
      <c r="G43" s="65" t="str">
        <f>'koud buffet'!I78</f>
        <v>nee</v>
      </c>
      <c r="I43" s="65" t="str">
        <f>'koud buffet'!K76</f>
        <v>nee</v>
      </c>
      <c r="J43" s="58">
        <f>'koud buffet'!G26</f>
        <v>0</v>
      </c>
    </row>
    <row r="44" spans="1:18" ht="15" customHeight="1" x14ac:dyDescent="0.25">
      <c r="A44" s="140" t="str">
        <f>'koud buffet'!B78 &amp; " " &amp; 'koud buffet'!B79</f>
        <v>Wijze van betaling: Betaling op de dag zelf (cash of bancontact), u bekomt 2% korting op het totaal</v>
      </c>
      <c r="B44" s="140"/>
      <c r="C44" s="140"/>
      <c r="D44" s="140"/>
      <c r="E44" s="140"/>
      <c r="F44" s="140"/>
      <c r="G44" s="140"/>
      <c r="H44" s="140"/>
      <c r="I44" s="60" t="s">
        <v>271</v>
      </c>
      <c r="J44" s="14" t="str">
        <f>IF(A35&lt;&gt;"","Detail van het dessert:","")</f>
        <v/>
      </c>
    </row>
    <row r="45" spans="1:18" x14ac:dyDescent="0.25">
      <c r="A45" s="140"/>
      <c r="B45" s="140"/>
      <c r="C45" s="140"/>
      <c r="D45" s="140"/>
      <c r="E45" s="140"/>
      <c r="F45" s="140"/>
      <c r="G45" s="140"/>
      <c r="H45" s="140"/>
      <c r="I45" s="65" t="str">
        <f>'koud buffet'!K105</f>
        <v>nee</v>
      </c>
      <c r="J45" s="58">
        <f>IF('koud buffet'!$B$59=matrixen!$B$132,'koud buffet'!B62 &amp; ", " &amp; 'koud buffet'!B63,'koud buffet'!F59)</f>
        <v>0</v>
      </c>
    </row>
    <row r="46" spans="1:18" x14ac:dyDescent="0.25">
      <c r="A46" s="59" t="s">
        <v>215</v>
      </c>
      <c r="I46" s="73">
        <f>C7-9</f>
        <v>-9</v>
      </c>
      <c r="J46" s="58">
        <f>IF('koud buffet'!$B$59=matrixen!$B$132,'koud buffet'!B64 &amp; ", " &amp; 'koud buffet'!B65,'koud buffet'!F60)</f>
        <v>0</v>
      </c>
    </row>
    <row r="47" spans="1:18" x14ac:dyDescent="0.25">
      <c r="A47" s="59" t="s">
        <v>216</v>
      </c>
      <c r="J47" s="58">
        <f>IF('koud buffet'!$B$59=matrixen!$B$132,'koud buffet'!B66 &amp; ", " &amp; 'koud buffet'!B67,'koud buffet'!F61)</f>
        <v>0</v>
      </c>
    </row>
    <row r="48" spans="1:18" x14ac:dyDescent="0.25">
      <c r="A48" s="72" t="s">
        <v>217</v>
      </c>
      <c r="J48" s="58">
        <f>IF('koud buffet'!$B$59=matrixen!$B$132,'koud buffet'!B68,'koud buffet'!F62)</f>
        <v>0</v>
      </c>
    </row>
    <row r="49" spans="1:10" x14ac:dyDescent="0.25">
      <c r="A49" s="72" t="s">
        <v>218</v>
      </c>
      <c r="H49" s="64" t="s">
        <v>196</v>
      </c>
      <c r="I49" s="79" t="str">
        <f>'koud buffet'!K101</f>
        <v>ja</v>
      </c>
      <c r="J49" s="58">
        <f>'koud buffet'!F71</f>
        <v>0</v>
      </c>
    </row>
    <row r="50" spans="1:10" x14ac:dyDescent="0.25">
      <c r="A50" s="72" t="s">
        <v>219</v>
      </c>
      <c r="E50" s="59" t="s">
        <v>220</v>
      </c>
      <c r="H50" s="59" t="s">
        <v>221</v>
      </c>
      <c r="J50" s="58">
        <f>'koud buffet'!F72</f>
        <v>0</v>
      </c>
    </row>
    <row r="52" spans="1:10" x14ac:dyDescent="0.25">
      <c r="J52" s="14" t="str">
        <f>IF(OR('koud buffet'!F67 &lt;&gt;"",'koud buffet'!F68&lt;&gt;"",'koud buffet'!F69&lt;&gt;"",'koud buffet'!F70&lt;&gt;""),"U koos volgende late night snack(s):","")</f>
        <v/>
      </c>
    </row>
    <row r="53" spans="1:10" x14ac:dyDescent="0.25">
      <c r="J53" s="58">
        <f>'koud buffet'!F67</f>
        <v>0</v>
      </c>
    </row>
    <row r="54" spans="1:10" x14ac:dyDescent="0.25">
      <c r="J54" s="58">
        <f>'koud buffet'!F68</f>
        <v>0</v>
      </c>
    </row>
    <row r="55" spans="1:10" x14ac:dyDescent="0.25">
      <c r="J55" s="58">
        <f>'koud buffet'!F69</f>
        <v>0</v>
      </c>
    </row>
    <row r="56" spans="1:10" x14ac:dyDescent="0.25">
      <c r="J56" s="58">
        <f>'koud buffet'!F70</f>
        <v>0</v>
      </c>
    </row>
  </sheetData>
  <sheetProtection algorithmName="SHA-512" hashValue="Ej/njuB4oejWmN87FGwlA+w2pVSzJEZSe/6VovEVQ+2a5IXyO1SEG7gL0VmVNrfeoe3J5aIFuuj9YnAPBKSt+g==" saltValue="rU115t+cvZiWo1HmBiMOag==" spinCount="100000" sheet="1" objects="1" scenarios="1" selectLockedCells="1" selectUnlockedCells="1"/>
  <mergeCells count="17">
    <mergeCell ref="A36:C36"/>
    <mergeCell ref="A44:H45"/>
    <mergeCell ref="A37:I38"/>
    <mergeCell ref="A39:I41"/>
    <mergeCell ref="E33:I34"/>
    <mergeCell ref="D14:H14"/>
    <mergeCell ref="J26:R27"/>
    <mergeCell ref="R3:R4"/>
    <mergeCell ref="M10:N10"/>
    <mergeCell ref="J13:L13"/>
    <mergeCell ref="M13:Q13"/>
    <mergeCell ref="J15:R15"/>
    <mergeCell ref="Q3:Q4"/>
    <mergeCell ref="O3:O4"/>
    <mergeCell ref="P3:P4"/>
    <mergeCell ref="J17:R17"/>
    <mergeCell ref="O24:R24"/>
  </mergeCells>
  <conditionalFormatting sqref="C42">
    <cfRule type="cellIs" dxfId="6" priority="17" operator="equal">
      <formula>"ja"</formula>
    </cfRule>
    <cfRule type="cellIs" dxfId="5" priority="18" operator="equal">
      <formula>"ja"</formula>
    </cfRule>
  </conditionalFormatting>
  <conditionalFormatting sqref="M13:Q13">
    <cfRule type="containsText" dxfId="4" priority="5" operator="containsText" text="onmogelijk">
      <formula>NOT(ISERROR(SEARCH("onmogelijk",M13)))</formula>
    </cfRule>
  </conditionalFormatting>
  <conditionalFormatting sqref="E33:I34">
    <cfRule type="containsText" dxfId="3" priority="4" operator="containsText" text="teau">
      <formula>NOT(ISERROR(SEARCH("teau",E33)))</formula>
    </cfRule>
  </conditionalFormatting>
  <conditionalFormatting sqref="D14:H14">
    <cfRule type="containsText" dxfId="2" priority="3" operator="containsText" text="tafels">
      <formula>NOT(ISERROR(SEARCH("tafels",D14)))</formula>
    </cfRule>
  </conditionalFormatting>
  <conditionalFormatting sqref="A16">
    <cfRule type="containsText" dxfId="1" priority="2" operator="containsText" text="a">
      <formula>NOT(ISERROR(SEARCH("a",A16)))</formula>
    </cfRule>
  </conditionalFormatting>
  <conditionalFormatting sqref="A36:C36">
    <cfRule type="containsText" dxfId="0" priority="1" operator="containsText" text="met">
      <formula>NOT(ISERROR(SEARCH("met",A36)))</formula>
    </cfRule>
  </conditionalFormatting>
  <dataValidations disablePrompts="1" count="1">
    <dataValidation type="whole" allowBlank="1" showInputMessage="1" showErrorMessage="1" errorTitle="Fout" error="U kunt niet meer ingeven dan het totaal aantal volwassenen._x000a_" sqref="N12" xr:uid="{00000000-0002-0000-0300-000000000000}">
      <formula1>0</formula1>
      <formula2>K5</formula2>
    </dataValidation>
  </dataValidations>
  <pageMargins left="0.7" right="0.7" top="0.75" bottom="0.75" header="0.3" footer="0.3"/>
  <pageSetup paperSize="9" scale="9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Druk_voorstel_af">
                <anchor moveWithCells="1" sizeWithCells="1">
                  <from>
                    <xdr:col>6</xdr:col>
                    <xdr:colOff>495300</xdr:colOff>
                    <xdr:row>0</xdr:row>
                    <xdr:rowOff>66675</xdr:rowOff>
                  </from>
                  <to>
                    <xdr:col>8</xdr:col>
                    <xdr:colOff>685800</xdr:colOff>
                    <xdr:row>1</xdr:row>
                    <xdr:rowOff>161925</xdr:rowOff>
                  </to>
                </anchor>
              </controlPr>
            </control>
          </mc:Choice>
        </mc:AlternateContent>
        <mc:AlternateContent xmlns:mc="http://schemas.openxmlformats.org/markup-compatibility/2006">
          <mc:Choice Requires="x14">
            <control shapeId="2050" r:id="rId5" name="Button 2">
              <controlPr defaultSize="0" print="0" autoFill="0" autoPict="0" macro="[0]!activeer">
                <anchor moveWithCells="1" sizeWithCells="1">
                  <from>
                    <xdr:col>18</xdr:col>
                    <xdr:colOff>180975</xdr:colOff>
                    <xdr:row>2</xdr:row>
                    <xdr:rowOff>9525</xdr:rowOff>
                  </from>
                  <to>
                    <xdr:col>19</xdr:col>
                    <xdr:colOff>333375</xdr:colOff>
                    <xdr:row>3</xdr:row>
                    <xdr:rowOff>95250</xdr:rowOff>
                  </to>
                </anchor>
              </controlPr>
            </control>
          </mc:Choice>
        </mc:AlternateContent>
        <mc:AlternateContent xmlns:mc="http://schemas.openxmlformats.org/markup-compatibility/2006">
          <mc:Choice Requires="x14">
            <control shapeId="2051" r:id="rId6" name="Button 3">
              <controlPr defaultSize="0" print="0" autoFill="0" autoPict="0" macro="[0]!desactiveer">
                <anchor moveWithCells="1" sizeWithCells="1">
                  <from>
                    <xdr:col>18</xdr:col>
                    <xdr:colOff>209550</xdr:colOff>
                    <xdr:row>4</xdr:row>
                    <xdr:rowOff>28575</xdr:rowOff>
                  </from>
                  <to>
                    <xdr:col>19</xdr:col>
                    <xdr:colOff>333375</xdr:colOff>
                    <xdr:row>5</xdr:row>
                    <xdr:rowOff>85725</xdr:rowOff>
                  </to>
                </anchor>
              </controlPr>
            </control>
          </mc:Choice>
        </mc:AlternateContent>
        <mc:AlternateContent xmlns:mc="http://schemas.openxmlformats.org/markup-compatibility/2006">
          <mc:Choice Requires="x14">
            <control shapeId="2052" r:id="rId7" name="Button 4">
              <controlPr defaultSize="0" print="0" autoFill="0" autoPict="0" macro="[0]!Blad4.BAH">
                <anchor moveWithCells="1" sizeWithCells="1">
                  <from>
                    <xdr:col>18</xdr:col>
                    <xdr:colOff>228600</xdr:colOff>
                    <xdr:row>6</xdr:row>
                    <xdr:rowOff>38100</xdr:rowOff>
                  </from>
                  <to>
                    <xdr:col>19</xdr:col>
                    <xdr:colOff>352425</xdr:colOff>
                    <xdr:row>7</xdr:row>
                    <xdr:rowOff>76200</xdr:rowOff>
                  </to>
                </anchor>
              </controlPr>
            </control>
          </mc:Choice>
        </mc:AlternateContent>
        <mc:AlternateContent xmlns:mc="http://schemas.openxmlformats.org/markup-compatibility/2006">
          <mc:Choice Requires="x14">
            <control shapeId="2053" r:id="rId8" name="Button 5">
              <controlPr defaultSize="0" print="0" autoFill="0" autoPict="0" macro="[0]!Druk_voorstel_1_af">
                <anchor moveWithCells="1" sizeWithCells="1">
                  <from>
                    <xdr:col>18</xdr:col>
                    <xdr:colOff>247650</xdr:colOff>
                    <xdr:row>7</xdr:row>
                    <xdr:rowOff>161925</xdr:rowOff>
                  </from>
                  <to>
                    <xdr:col>19</xdr:col>
                    <xdr:colOff>209550</xdr:colOff>
                    <xdr:row>9</xdr:row>
                    <xdr:rowOff>0</xdr:rowOff>
                  </to>
                </anchor>
              </controlPr>
            </control>
          </mc:Choice>
        </mc:AlternateContent>
        <mc:AlternateContent xmlns:mc="http://schemas.openxmlformats.org/markup-compatibility/2006">
          <mc:Choice Requires="x14">
            <control shapeId="2054" r:id="rId9" name="Button 6">
              <controlPr defaultSize="0" print="0" autoFill="0" autoPict="0" macro="[0]!Druk_voorstel_2_af">
                <anchor moveWithCells="1" sizeWithCells="1">
                  <from>
                    <xdr:col>18</xdr:col>
                    <xdr:colOff>266700</xdr:colOff>
                    <xdr:row>9</xdr:row>
                    <xdr:rowOff>152400</xdr:rowOff>
                  </from>
                  <to>
                    <xdr:col>19</xdr:col>
                    <xdr:colOff>219075</xdr:colOff>
                    <xdr:row>10</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5</vt:i4>
      </vt:variant>
    </vt:vector>
  </HeadingPairs>
  <TitlesOfParts>
    <vt:vector size="9" baseType="lpstr">
      <vt:lpstr>koud buffet</vt:lpstr>
      <vt:lpstr>matrixen</vt:lpstr>
      <vt:lpstr>Algemene verkoopsvoorwaarden</vt:lpstr>
      <vt:lpstr>Reservatievoorstel</vt:lpstr>
      <vt:lpstr>'Algemene verkoopsvoorwaarden'!Afdrukbereik</vt:lpstr>
      <vt:lpstr>dessert</vt:lpstr>
      <vt:lpstr>dessertjes</vt:lpstr>
      <vt:lpstr>hapjes</vt:lpstr>
      <vt:lpstr>minidessert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2022-11-03T16:38:56Z</dcterms:modified>
</cp:coreProperties>
</file>