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filterPrivacy="1" codeName="ThisWorkbook" defaultThemeVersion="124226"/>
  <xr:revisionPtr revIDLastSave="0" documentId="13_ncr:1_{C0A9C4E2-6C74-476E-B852-9139C91F18A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oud buffet" sheetId="2" r:id="rId1"/>
    <sheet name="matrixen" sheetId="1" state="hidden" r:id="rId2"/>
    <sheet name="Algemene verkoopsvoorwaarden" sheetId="3" r:id="rId3"/>
    <sheet name="Reservatievoorstel" sheetId="4" r:id="rId4"/>
  </sheets>
  <externalReferences>
    <externalReference r:id="rId5"/>
  </externalReferences>
  <definedNames>
    <definedName name="_xlnm.Print_Area" localSheetId="2">'Algemene verkoopsvoorwaarden'!$A$1:$O$63</definedName>
    <definedName name="dessert">matrixen!$B$127:$S$149</definedName>
    <definedName name="hapjes">'[1]menu''s'!$AG$13:$AG$43</definedName>
    <definedName name="minidessert">matrixen!$M$22:$M$33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4" i="2" l="1"/>
  <c r="I11" i="4" s="1"/>
  <c r="H11" i="4" s="1"/>
  <c r="J74" i="2"/>
  <c r="I49" i="4" l="1"/>
  <c r="I45" i="4"/>
  <c r="A44" i="4"/>
  <c r="J43" i="4"/>
  <c r="I43" i="4"/>
  <c r="G43" i="4"/>
  <c r="F43" i="4"/>
  <c r="C43" i="4"/>
  <c r="J42" i="4"/>
  <c r="G42" i="4"/>
  <c r="C42" i="4"/>
  <c r="J40" i="4"/>
  <c r="J39" i="4"/>
  <c r="A39" i="4"/>
  <c r="J38" i="4"/>
  <c r="J37" i="4"/>
  <c r="A37" i="4"/>
  <c r="J36" i="4"/>
  <c r="J35" i="4"/>
  <c r="J34" i="4"/>
  <c r="A34" i="4"/>
  <c r="J33" i="4"/>
  <c r="A33" i="4"/>
  <c r="J32" i="4"/>
  <c r="E32" i="4"/>
  <c r="A32" i="4"/>
  <c r="J31" i="4"/>
  <c r="E31" i="4"/>
  <c r="A31" i="4"/>
  <c r="J30" i="4"/>
  <c r="E30" i="4"/>
  <c r="A30" i="4"/>
  <c r="E29" i="4"/>
  <c r="A29" i="4"/>
  <c r="E28" i="4"/>
  <c r="A28" i="4"/>
  <c r="E27" i="4"/>
  <c r="A27" i="4"/>
  <c r="E26" i="4"/>
  <c r="A26" i="4"/>
  <c r="AG25" i="4"/>
  <c r="I25" i="4"/>
  <c r="E25" i="4"/>
  <c r="A25" i="4"/>
  <c r="AG24" i="4"/>
  <c r="I24" i="4"/>
  <c r="E24" i="4"/>
  <c r="A24" i="4"/>
  <c r="AG23" i="4"/>
  <c r="K23" i="4"/>
  <c r="I23" i="4"/>
  <c r="E23" i="4"/>
  <c r="K22" i="4"/>
  <c r="G22" i="4"/>
  <c r="K21" i="4"/>
  <c r="K20" i="4"/>
  <c r="K19" i="4"/>
  <c r="K18" i="4"/>
  <c r="A18" i="4"/>
  <c r="J16" i="4"/>
  <c r="I16" i="4"/>
  <c r="I15" i="4"/>
  <c r="D14" i="4"/>
  <c r="N12" i="4"/>
  <c r="J15" i="4" s="1"/>
  <c r="D12" i="4"/>
  <c r="C12" i="4"/>
  <c r="M11" i="4"/>
  <c r="L11" i="4"/>
  <c r="C11" i="4"/>
  <c r="K7" i="4" s="1"/>
  <c r="I9" i="4"/>
  <c r="C10" i="4"/>
  <c r="K6" i="4" s="1"/>
  <c r="J21" i="4" s="1"/>
  <c r="O9" i="4"/>
  <c r="C9" i="4"/>
  <c r="K5" i="4" s="1"/>
  <c r="Q8" i="4"/>
  <c r="N8" i="4"/>
  <c r="M8" i="4"/>
  <c r="L8" i="4"/>
  <c r="K8" i="4"/>
  <c r="O8" i="4" s="1"/>
  <c r="F7" i="4"/>
  <c r="C7" i="4"/>
  <c r="I46" i="4" s="1"/>
  <c r="B6" i="4"/>
  <c r="A6" i="4"/>
  <c r="C5" i="4"/>
  <c r="I4" i="4"/>
  <c r="C4" i="4"/>
  <c r="I3" i="4"/>
  <c r="C3" i="4"/>
  <c r="C2" i="4"/>
  <c r="G57" i="3"/>
  <c r="M51" i="3"/>
  <c r="B45" i="3"/>
  <c r="J44" i="3"/>
  <c r="AA139" i="2"/>
  <c r="AA138" i="2"/>
  <c r="AA137" i="2"/>
  <c r="AA130" i="2"/>
  <c r="AA129" i="2"/>
  <c r="AA127" i="2"/>
  <c r="AA126" i="2"/>
  <c r="AA125" i="2"/>
  <c r="AA123" i="2"/>
  <c r="AA122" i="2"/>
  <c r="AA121" i="2"/>
  <c r="AA120" i="2"/>
  <c r="AA118" i="2"/>
  <c r="AA117" i="2"/>
  <c r="AA116" i="2"/>
  <c r="AA115" i="2"/>
  <c r="AA114" i="2"/>
  <c r="AA113" i="2"/>
  <c r="AA112" i="2"/>
  <c r="AA111" i="2"/>
  <c r="AA110" i="2"/>
  <c r="AA109" i="2"/>
  <c r="H109" i="2"/>
  <c r="F109" i="2"/>
  <c r="AA108" i="2"/>
  <c r="AA107" i="2"/>
  <c r="AA106" i="2"/>
  <c r="K106" i="2"/>
  <c r="J106" i="2"/>
  <c r="H106" i="2"/>
  <c r="AA105" i="2"/>
  <c r="I105" i="2"/>
  <c r="J108" i="2" s="1"/>
  <c r="G105" i="2"/>
  <c r="H111" i="2" s="1"/>
  <c r="E105" i="2"/>
  <c r="F106" i="2" s="1"/>
  <c r="AA104" i="2"/>
  <c r="AA103" i="2"/>
  <c r="AA102" i="2"/>
  <c r="AA101" i="2"/>
  <c r="AA100" i="2"/>
  <c r="D100" i="2"/>
  <c r="L85" i="2" s="1"/>
  <c r="AA99" i="2"/>
  <c r="AA98" i="2"/>
  <c r="AA96" i="2"/>
  <c r="H96" i="2"/>
  <c r="E33" i="4" s="1"/>
  <c r="AA95" i="2"/>
  <c r="AA94" i="2"/>
  <c r="AA92" i="2"/>
  <c r="AA91" i="2"/>
  <c r="H91" i="2"/>
  <c r="A22" i="4" s="1"/>
  <c r="AA90" i="2"/>
  <c r="L90" i="2"/>
  <c r="H90" i="2" s="1"/>
  <c r="A21" i="4" s="1"/>
  <c r="AA89" i="2"/>
  <c r="L89" i="2"/>
  <c r="H89" i="2"/>
  <c r="A20" i="4" s="1"/>
  <c r="L88" i="2"/>
  <c r="H88" i="2" s="1"/>
  <c r="A19" i="4" s="1"/>
  <c r="AA87" i="2"/>
  <c r="L87" i="2"/>
  <c r="H87" i="2"/>
  <c r="AA86" i="2"/>
  <c r="L86" i="2"/>
  <c r="H86" i="2"/>
  <c r="A17" i="4" s="1"/>
  <c r="AA85" i="2"/>
  <c r="AA84" i="2"/>
  <c r="AA83" i="2"/>
  <c r="AA82" i="2"/>
  <c r="AA81" i="2"/>
  <c r="AA80" i="2"/>
  <c r="J80" i="2"/>
  <c r="H80" i="2"/>
  <c r="AA79" i="2"/>
  <c r="J79" i="2"/>
  <c r="AA78" i="2"/>
  <c r="J78" i="2"/>
  <c r="AA76" i="2"/>
  <c r="E76" i="2"/>
  <c r="L99" i="2" s="1"/>
  <c r="D76" i="2"/>
  <c r="Q2" i="4" s="1"/>
  <c r="AA75" i="2"/>
  <c r="AA74" i="2"/>
  <c r="D74" i="2"/>
  <c r="L98" i="2" s="1"/>
  <c r="H98" i="2" s="1"/>
  <c r="A36" i="4" s="1"/>
  <c r="AA73" i="2"/>
  <c r="AA72" i="2"/>
  <c r="F72" i="2"/>
  <c r="J50" i="4" s="1"/>
  <c r="AA71" i="2"/>
  <c r="F71" i="2"/>
  <c r="J49" i="4" s="1"/>
  <c r="D65" i="2"/>
  <c r="F65" i="2" s="1"/>
  <c r="AA62" i="2"/>
  <c r="F62" i="2"/>
  <c r="J48" i="4" s="1"/>
  <c r="AA61" i="2"/>
  <c r="F61" i="2"/>
  <c r="J47" i="4" s="1"/>
  <c r="B61" i="2"/>
  <c r="AA60" i="2"/>
  <c r="F60" i="2"/>
  <c r="J46" i="4" s="1"/>
  <c r="AA59" i="2"/>
  <c r="F59" i="2"/>
  <c r="J45" i="4" s="1"/>
  <c r="D59" i="2"/>
  <c r="L97" i="2" s="1"/>
  <c r="H97" i="2" s="1"/>
  <c r="A35" i="4" s="1"/>
  <c r="J44" i="4" s="1"/>
  <c r="AA58" i="2"/>
  <c r="AA57" i="2"/>
  <c r="AA56" i="2"/>
  <c r="AA55" i="2"/>
  <c r="D55" i="2"/>
  <c r="L96" i="2" s="1"/>
  <c r="AA54" i="2"/>
  <c r="AA53" i="2"/>
  <c r="AA52" i="2"/>
  <c r="G52" i="2"/>
  <c r="AA51" i="2"/>
  <c r="G51" i="2"/>
  <c r="AA50" i="2"/>
  <c r="G50" i="2"/>
  <c r="AA49" i="2"/>
  <c r="F48" i="2"/>
  <c r="AA47" i="2"/>
  <c r="G47" i="2"/>
  <c r="AA46" i="2"/>
  <c r="G46" i="2"/>
  <c r="AA45" i="2"/>
  <c r="G45" i="2"/>
  <c r="AL44" i="2"/>
  <c r="AA44" i="2"/>
  <c r="G44" i="2"/>
  <c r="AL43" i="2"/>
  <c r="AA43" i="2"/>
  <c r="G43" i="2"/>
  <c r="AL42" i="2"/>
  <c r="AA42" i="2"/>
  <c r="G42" i="2"/>
  <c r="AL41" i="2"/>
  <c r="AA41" i="2"/>
  <c r="G41" i="2"/>
  <c r="AL40" i="2"/>
  <c r="AA40" i="2"/>
  <c r="G40" i="2"/>
  <c r="AL39" i="2"/>
  <c r="AA39" i="2"/>
  <c r="G39" i="2"/>
  <c r="AL38" i="2"/>
  <c r="AA38" i="2"/>
  <c r="F38" i="2"/>
  <c r="D38" i="2"/>
  <c r="L93" i="2" s="1"/>
  <c r="AL37" i="2"/>
  <c r="AA37" i="2"/>
  <c r="AL36" i="2"/>
  <c r="AA36" i="2"/>
  <c r="D36" i="2"/>
  <c r="L91" i="2" s="1"/>
  <c r="AL35" i="2"/>
  <c r="AA35" i="2"/>
  <c r="AL34" i="2"/>
  <c r="AA34" i="2"/>
  <c r="AL33" i="2"/>
  <c r="AA33" i="2"/>
  <c r="AL32" i="2"/>
  <c r="AA32" i="2"/>
  <c r="AL31" i="2"/>
  <c r="AA31" i="2"/>
  <c r="AL30" i="2"/>
  <c r="AL29" i="2"/>
  <c r="AA29" i="2"/>
  <c r="AL28" i="2"/>
  <c r="AA28" i="2"/>
  <c r="AL27" i="2"/>
  <c r="AA27" i="2"/>
  <c r="AL26" i="2"/>
  <c r="AA26" i="2"/>
  <c r="F26" i="2"/>
  <c r="AL25" i="2"/>
  <c r="AA25" i="2"/>
  <c r="F25" i="2"/>
  <c r="AL24" i="2"/>
  <c r="AA24" i="2"/>
  <c r="F24" i="2"/>
  <c r="AL23" i="2"/>
  <c r="AA23" i="2"/>
  <c r="F23" i="2"/>
  <c r="AL22" i="2"/>
  <c r="AA22" i="2"/>
  <c r="F22" i="2"/>
  <c r="AL21" i="2"/>
  <c r="AA21" i="2"/>
  <c r="F21" i="2"/>
  <c r="AL20" i="2"/>
  <c r="AA20" i="2"/>
  <c r="F20" i="2"/>
  <c r="G24" i="2" s="1"/>
  <c r="B15" i="2" s="1"/>
  <c r="AL19" i="2"/>
  <c r="AA19" i="2"/>
  <c r="F19" i="2"/>
  <c r="AL18" i="2"/>
  <c r="AA18" i="2"/>
  <c r="F18" i="2"/>
  <c r="R33" i="4" s="1"/>
  <c r="AL17" i="2"/>
  <c r="AA17" i="2"/>
  <c r="F17" i="2"/>
  <c r="R32" i="4" s="1"/>
  <c r="AL16" i="2"/>
  <c r="AA16" i="2"/>
  <c r="F16" i="2"/>
  <c r="R31" i="4" s="1"/>
  <c r="AL15" i="2"/>
  <c r="AA15" i="2"/>
  <c r="F15" i="2"/>
  <c r="R30" i="4" s="1"/>
  <c r="AL14" i="2"/>
  <c r="AA14" i="2"/>
  <c r="F14" i="2"/>
  <c r="R29" i="4" s="1"/>
  <c r="AL13" i="2"/>
  <c r="F13" i="2"/>
  <c r="R28" i="4" s="1"/>
  <c r="D13" i="2"/>
  <c r="AA11" i="2"/>
  <c r="I11" i="2"/>
  <c r="D15" i="2" s="1"/>
  <c r="D6" i="2"/>
  <c r="B3" i="2"/>
  <c r="H39" i="2" l="1"/>
  <c r="H50" i="2"/>
  <c r="D50" i="2" s="1"/>
  <c r="L95" i="2" s="1"/>
  <c r="H95" i="2" s="1"/>
  <c r="J17" i="4"/>
  <c r="J14" i="4"/>
  <c r="J22" i="4"/>
  <c r="J23" i="4"/>
  <c r="P5" i="4"/>
  <c r="P6" i="4"/>
  <c r="I85" i="2"/>
  <c r="H85" i="2"/>
  <c r="A16" i="4" s="1"/>
  <c r="J109" i="2"/>
  <c r="F107" i="2"/>
  <c r="F110" i="2"/>
  <c r="H107" i="2"/>
  <c r="H110" i="2"/>
  <c r="R8" i="4"/>
  <c r="J41" i="4"/>
  <c r="L84" i="2"/>
  <c r="H84" i="2" s="1"/>
  <c r="A15" i="4" s="1"/>
  <c r="M28" i="4" s="1"/>
  <c r="J28" i="4" s="1"/>
  <c r="F105" i="2"/>
  <c r="J107" i="2"/>
  <c r="J110" i="2"/>
  <c r="H105" i="2"/>
  <c r="F108" i="2"/>
  <c r="F111" i="2"/>
  <c r="H108" i="2"/>
  <c r="J19" i="4"/>
  <c r="J18" i="4"/>
  <c r="P2" i="4"/>
  <c r="O2" i="4" s="1"/>
  <c r="P3" i="4"/>
  <c r="P7" i="4"/>
  <c r="D8" i="4"/>
  <c r="J20" i="4"/>
  <c r="H40" i="2" l="1"/>
  <c r="H41" i="2" s="1"/>
  <c r="D42" i="2" s="1"/>
  <c r="L94" i="2" s="1"/>
  <c r="H94" i="2" s="1"/>
  <c r="D7" i="2" l="1"/>
  <c r="J7" i="2" s="1"/>
  <c r="D10" i="4" s="1"/>
  <c r="L6" i="4" s="1"/>
  <c r="M6" i="4" s="1"/>
  <c r="H7" i="2" l="1"/>
  <c r="D11" i="4" s="1"/>
  <c r="L7" i="4" s="1"/>
  <c r="M7" i="4" s="1"/>
  <c r="M22" i="4" s="1"/>
  <c r="O22" i="4" s="1"/>
  <c r="D9" i="4"/>
  <c r="Q1" i="4" s="1"/>
  <c r="L5" i="4" s="1"/>
  <c r="M5" i="4" s="1"/>
  <c r="M14" i="4" s="1"/>
  <c r="O14" i="4" s="1"/>
  <c r="N6" i="4"/>
  <c r="Q6" i="4" s="1"/>
  <c r="M20" i="4"/>
  <c r="O20" i="4" s="1"/>
  <c r="O6" i="4"/>
  <c r="I8" i="4" l="1"/>
  <c r="N7" i="4"/>
  <c r="Q7" i="4" s="1"/>
  <c r="M23" i="4" s="1"/>
  <c r="O23" i="4" s="1"/>
  <c r="O7" i="4"/>
  <c r="I10" i="4"/>
  <c r="Q9" i="4" s="1"/>
  <c r="P9" i="4" s="1"/>
  <c r="M18" i="4"/>
  <c r="O18" i="4" s="1"/>
  <c r="O5" i="4"/>
  <c r="M13" i="4"/>
  <c r="R6" i="4"/>
  <c r="M21" i="4"/>
  <c r="O21" i="4" s="1"/>
  <c r="N5" i="4"/>
  <c r="Q5" i="4" s="1"/>
  <c r="R5" i="4" s="1"/>
  <c r="R7" i="4" l="1"/>
  <c r="I12" i="4"/>
  <c r="F101" i="2" s="1"/>
  <c r="G103" i="2" s="1"/>
  <c r="G104" i="2" s="1"/>
  <c r="I13" i="4" s="1"/>
  <c r="J26" i="4" s="1"/>
  <c r="O24" i="4"/>
  <c r="L24" i="4"/>
  <c r="M16" i="4"/>
  <c r="O16" i="4" s="1"/>
  <c r="M19" i="4"/>
  <c r="O19" i="4" s="1"/>
  <c r="K24" i="4" l="1"/>
  <c r="N24" i="4"/>
  <c r="M24" i="4"/>
  <c r="J24" i="4"/>
  <c r="M25" i="4"/>
  <c r="L25" i="4"/>
</calcChain>
</file>

<file path=xl/sharedStrings.xml><?xml version="1.0" encoding="utf-8"?>
<sst xmlns="http://schemas.openxmlformats.org/spreadsheetml/2006/main" count="581" uniqueCount="443">
  <si>
    <t>Pineau des charentes wit</t>
  </si>
  <si>
    <t>Maison (basis safari)</t>
  </si>
  <si>
    <t>Kir royale</t>
  </si>
  <si>
    <t>Sherry dry</t>
  </si>
  <si>
    <t>Porto</t>
  </si>
  <si>
    <t>Receptie E</t>
  </si>
  <si>
    <t>Receptie A</t>
  </si>
  <si>
    <t>Martini (wit/rood)</t>
  </si>
  <si>
    <t>Uitgebreide receptie</t>
  </si>
  <si>
    <t>Basis receptie.</t>
  </si>
  <si>
    <t>Dranken 2 uur inbegrepen.</t>
  </si>
  <si>
    <t>Kir</t>
  </si>
  <si>
    <t>nootjes en chips</t>
  </si>
  <si>
    <t>“3 koude voorgerechtjes”</t>
  </si>
  <si>
    <t>Schuimwijn</t>
  </si>
  <si>
    <t xml:space="preserve">koud hapje met krabsla </t>
  </si>
  <si>
    <t>koud hapje met gerookte zalm</t>
  </si>
  <si>
    <t>koud hapje met grijze garnalen</t>
  </si>
  <si>
    <t>“soepje”</t>
  </si>
  <si>
    <t>1 mini soepje tomatenroom of vissoepje</t>
  </si>
  <si>
    <t>“3 warme gerechtjes”</t>
  </si>
  <si>
    <t>kippenboutje</t>
  </si>
  <si>
    <t>Cava</t>
  </si>
  <si>
    <t>mini loempia</t>
  </si>
  <si>
    <t>Champagne</t>
  </si>
  <si>
    <t>mini croque monsieur</t>
  </si>
  <si>
    <t>“2 dessertjes”</t>
  </si>
  <si>
    <t>mini-brochetje met druifje, ananas en meloenbolletje</t>
  </si>
  <si>
    <t xml:space="preserve">Dessertbuffet zonder maaltijd: </t>
  </si>
  <si>
    <t>mini confituurtaartje</t>
  </si>
  <si>
    <t>Koffie 3 X bediend</t>
  </si>
  <si>
    <t>Warme toostjes per stuk</t>
  </si>
  <si>
    <t>1 aperitief per persoon, vrije keuze</t>
  </si>
  <si>
    <t>Koude toostjes per stuk</t>
  </si>
  <si>
    <t>Nootjes, chips en zoutkoekjes zoveel u wenst,  per pers.</t>
  </si>
  <si>
    <t>gratis</t>
  </si>
  <si>
    <t>aperitiefglaasjes per stuk</t>
  </si>
  <si>
    <t>Rauwe groenten (wortel, bloemkool, cocktailsaus) prijs per persoon:</t>
  </si>
  <si>
    <t>Oesters per stuk warm of koud</t>
  </si>
  <si>
    <t xml:space="preserve">€ </t>
  </si>
  <si>
    <t>parmaham</t>
  </si>
  <si>
    <t>gerookte zalm</t>
  </si>
  <si>
    <t>américain préparé</t>
  </si>
  <si>
    <t>foie gras</t>
  </si>
  <si>
    <t>oesters 2pp</t>
  </si>
  <si>
    <t>kreeft</t>
  </si>
  <si>
    <t>langoustines 1 pp</t>
  </si>
  <si>
    <t>gebakken scampi's 2 pp</t>
  </si>
  <si>
    <t>roastbeef</t>
  </si>
  <si>
    <t>kabeljauw</t>
  </si>
  <si>
    <t>gerookte heilbot</t>
  </si>
  <si>
    <t>gerookte forelfilet</t>
  </si>
  <si>
    <t>tonijnsla</t>
  </si>
  <si>
    <t>vispastei</t>
  </si>
  <si>
    <t>koolvis</t>
  </si>
  <si>
    <t>pandalusgarnalen</t>
  </si>
  <si>
    <t>haring met dille</t>
  </si>
  <si>
    <t>varkensgebraad</t>
  </si>
  <si>
    <t>salami</t>
  </si>
  <si>
    <t>gekookte achterham</t>
  </si>
  <si>
    <t>hennepot</t>
  </si>
  <si>
    <t>vleespastei</t>
  </si>
  <si>
    <t>hoofdvlees</t>
  </si>
  <si>
    <t>stukjes kippebout</t>
  </si>
  <si>
    <t>hespeworst</t>
  </si>
  <si>
    <t>gepocheerde zalm</t>
  </si>
  <si>
    <t>gerookte bacon</t>
  </si>
  <si>
    <t>gepocheerde forel</t>
  </si>
  <si>
    <t>makreel met peper</t>
  </si>
  <si>
    <t>De samenstelling van het buffet kan verschillen, naargelang de grootte van de groep</t>
  </si>
  <si>
    <t>Dame blanche</t>
  </si>
  <si>
    <t>Aardbeiensoepje met sinaasappel in seizoen</t>
  </si>
  <si>
    <t>Sabayon met rood fruit</t>
  </si>
  <si>
    <t>Deze info is van: Feestzaal Katelijnenhof, Heirweg 172, 8800 Roeselare. Contacteer de zaakvoerder: 0475/618058 - info@katelijnenhof.be - web: www.katelijnenhof.be met foto's en volledige prijslijst.</t>
  </si>
  <si>
    <t>kinderen</t>
  </si>
  <si>
    <t xml:space="preserve"> 0 t.e.m. 2 j. 11 maand</t>
  </si>
  <si>
    <t>3 j. t.e.m. 5 j. 11 maand</t>
  </si>
  <si>
    <t>6 j, t.e.m. 11 jr. 11 maand</t>
  </si>
  <si>
    <t>Totaal per volwassene:</t>
  </si>
  <si>
    <t>0,00</t>
  </si>
  <si>
    <t>prijs pp</t>
  </si>
  <si>
    <t>Gedetailleerde info</t>
  </si>
  <si>
    <t>Maak in dit vak uw keuze voor het aperitief</t>
  </si>
  <si>
    <t>1 aperitief per persoon</t>
  </si>
  <si>
    <t>2 aperitieven per persoon</t>
  </si>
  <si>
    <t>vrije keuze</t>
  </si>
  <si>
    <t>Porto rood</t>
  </si>
  <si>
    <t>Martini</t>
  </si>
  <si>
    <t>Frisdrank</t>
  </si>
  <si>
    <t>met 4 aperitiefglaasjes</t>
  </si>
  <si>
    <t xml:space="preserve"> en drank gedurende 2 uur.</t>
  </si>
  <si>
    <t>eventueel tweede wordt</t>
  </si>
  <si>
    <t xml:space="preserve">1 per persoon,  </t>
  </si>
  <si>
    <t>direct afgerekend of</t>
  </si>
  <si>
    <t>komt op 1 rekening</t>
  </si>
  <si>
    <t xml:space="preserve">2 per persoon,  </t>
  </si>
  <si>
    <t>eventueel derde wordt</t>
  </si>
  <si>
    <t>Bieren</t>
  </si>
  <si>
    <t>wachtbordje met vispasteitje</t>
  </si>
  <si>
    <t>wachtbordje van reuzentoost met gerookte zalm</t>
  </si>
  <si>
    <t>Maak hier uw keuze voor extra hapjes bij het aperitief</t>
  </si>
  <si>
    <t>kippenbilletjes</t>
  </si>
  <si>
    <t>toostcupje</t>
  </si>
  <si>
    <t>garnaal in filo</t>
  </si>
  <si>
    <t>mini croque</t>
  </si>
  <si>
    <t>toost garnaal koud</t>
  </si>
  <si>
    <t>toost gerookte zalm koud</t>
  </si>
  <si>
    <t>toost krabsla koud</t>
  </si>
  <si>
    <t>toost eendenpastei koud</t>
  </si>
  <si>
    <t>aperoglaasje eendenmousse</t>
  </si>
  <si>
    <t>aperoglaasje gerookte zalm</t>
  </si>
  <si>
    <t>aperoglaasje mousse van krab</t>
  </si>
  <si>
    <t>aperoglaasje tomaat / garnaal</t>
  </si>
  <si>
    <t>Keuze koude toostjes</t>
  </si>
  <si>
    <t>Keuze aperoglaasjes</t>
  </si>
  <si>
    <t>Keuze warme toostjes</t>
  </si>
  <si>
    <t>(bij reservatie te bepalen)</t>
  </si>
  <si>
    <t>Afhankelijk van de soort ingrediënten die u kiest, verandert de prijs van het buffet. U mag elk ingrediënt meermaals aanduiden als u graag van iets een grotere portie heeft .</t>
  </si>
  <si>
    <t>Wij stellen voor om 12 ingrediënten te kiezen, voor een evenwichtig buffet. Meer of minder mag ook, het gewicht per persoon, per portie blijft steeds gelijk.</t>
  </si>
  <si>
    <t>Indien niet duidelijk, bel of mail ons voor meer info. 0475/618058 of info@katelijnenhof.be.</t>
  </si>
  <si>
    <t>Meer info: ongeacht of u veel of weinig ingrediënten aanduidt, u bekomt steeds een even grote portie per persoon. Dus hoe meer ingrediënten u selecteert, hoe kleiner de hoeveelheid per soort op het buffet wordt.</t>
  </si>
  <si>
    <t>Stel zelf uw koud buffet samen!</t>
  </si>
  <si>
    <r>
      <t xml:space="preserve">(klik </t>
    </r>
    <r>
      <rPr>
        <sz val="11"/>
        <color theme="1"/>
        <rFont val="Calibri"/>
        <family val="2"/>
        <scheme val="minor"/>
      </rPr>
      <t>op de gele balk, vervolgens op het pijltje rechts en scroll ev. naar beneden)</t>
    </r>
  </si>
  <si>
    <r>
      <t xml:space="preserve">In elk buffet zijn steeds groenten voorzien,  koude aardappelen </t>
    </r>
    <r>
      <rPr>
        <b/>
        <u/>
        <sz val="11"/>
        <color indexed="8"/>
        <rFont val="Calibri"/>
        <family val="2"/>
      </rPr>
      <t>en/of</t>
    </r>
    <r>
      <rPr>
        <sz val="11"/>
        <color theme="1"/>
        <rFont val="Calibri"/>
        <family val="2"/>
        <scheme val="minor"/>
      </rPr>
      <t xml:space="preserve"> aardappel in de pel en de schotels worden versierd met fruit. Ook de sausjes zijn inbegrepen.</t>
    </r>
  </si>
  <si>
    <t>Kies hier eerst uw aardappelbereiding</t>
  </si>
  <si>
    <t>Koude aardappelen</t>
  </si>
  <si>
    <t>Aardappel in de pel</t>
  </si>
  <si>
    <t>1/2 koude aardappelen en 1/2 aardappel in de pel</t>
  </si>
  <si>
    <t>frietjes (supplement)</t>
  </si>
  <si>
    <t>inbegrepen</t>
  </si>
  <si>
    <t>Basisprijs buffet:</t>
  </si>
  <si>
    <t>Supplement "koning"</t>
  </si>
  <si>
    <t>Supplement "keizer"</t>
  </si>
  <si>
    <t>Kies uit deze vlees- of visspecialiteiten</t>
  </si>
  <si>
    <t>Selecteer hier de samenstelling van uw buffet.  Indien u bij onderstaande lijst blijft, kost het buffet de basisprijs:</t>
  </si>
  <si>
    <t>supplement 1</t>
  </si>
  <si>
    <t>supplement 2</t>
  </si>
  <si>
    <t>tomaat met grijze garnalen</t>
  </si>
  <si>
    <r>
      <t xml:space="preserve">Mogelijke supplementen </t>
    </r>
    <r>
      <rPr>
        <b/>
        <u/>
        <sz val="14"/>
        <color indexed="8"/>
        <rFont val="Calibri"/>
        <family val="2"/>
      </rPr>
      <t>bij de recepties</t>
    </r>
  </si>
  <si>
    <t>basisprijs</t>
  </si>
  <si>
    <t>sup. Tov basisprijs</t>
  </si>
  <si>
    <r>
      <t xml:space="preserve">MAAK STEEDS UW KEUZE in de </t>
    </r>
    <r>
      <rPr>
        <b/>
        <sz val="20"/>
        <rFont val="Calibri"/>
        <family val="2"/>
      </rPr>
      <t>gele</t>
    </r>
    <r>
      <rPr>
        <b/>
        <sz val="20"/>
        <color indexed="8"/>
        <rFont val="Calibri"/>
        <family val="2"/>
      </rPr>
      <t xml:space="preserve"> vakken: </t>
    </r>
    <r>
      <rPr>
        <b/>
        <sz val="12"/>
        <color indexed="8"/>
        <rFont val="Calibri"/>
        <family val="2"/>
      </rPr>
      <t>(scroll naar beneden om meer gegevens in te vullen) Hierboven kunt u uw prijs volgen.</t>
    </r>
  </si>
  <si>
    <t>U kan ook voor de kinderen een kindermenu nemen ( zie een andere rekenmodule)</t>
  </si>
  <si>
    <t>Selecteer hier uw formule van de dranken tijdens het buffet.</t>
  </si>
  <si>
    <t>Selecteer hier uw dessert.</t>
  </si>
  <si>
    <t xml:space="preserve">U mag tegelijk ook </t>
  </si>
  <si>
    <t>uit de vorige categorie kiezen</t>
  </si>
  <si>
    <t>U mag tegelijk ook uit beide vorige categoriën kiezen.</t>
  </si>
  <si>
    <t>extra info</t>
  </si>
  <si>
    <t>Vanilleijs, verse slagroom,warme chocoladesaus.</t>
  </si>
  <si>
    <t>Sinaasappelsap met grand marnier en daarin vers gesneden aardbeien (alleen in seizoen)</t>
  </si>
  <si>
    <t>De lekkerste van alle gebakjes.</t>
  </si>
  <si>
    <t>Klein maar fijn gebakje</t>
  </si>
  <si>
    <t>Hier heb je zowel gebak als vanilleijs.</t>
  </si>
  <si>
    <t>Sabayon, fruit en ijs</t>
  </si>
  <si>
    <t>Nog geen dessert geselecteerd</t>
  </si>
  <si>
    <t>Koffie 3 X bediend met koekjes</t>
  </si>
  <si>
    <t>Koffie 3 X bediend met pralines</t>
  </si>
  <si>
    <t>Nog geen keuze gemaakt</t>
  </si>
  <si>
    <t>Selecteer hier uw koffie</t>
  </si>
  <si>
    <t>Om een aanvraag naar ons te versturen stuur een mail naar info@katelijnenhof met in bijlage dit bestand vanaf uw harde schijf.</t>
  </si>
  <si>
    <t>Eventuele datum van het feest:</t>
  </si>
  <si>
    <t>geraamd aantal volwassenen:</t>
  </si>
  <si>
    <t>geraamd aantal kinderen  0 t.e.m. 2 j. 11 maand:</t>
  </si>
  <si>
    <t>geraamd aantal kinderen 3 j. t.e.m. 5 j. 11 maand:</t>
  </si>
  <si>
    <t>Algemene verkoopsvoorwaarden:</t>
  </si>
  <si>
    <t>1) Onze facturen zijn contant te betalen bij levering van de goederen. Bijgevolg zal in geval van laattijdige betaling</t>
  </si>
  <si>
    <t xml:space="preserve">van rechtswege en zonder voorafgaande ingebrekestelling een intrest aangerekend worden van 12% per jaar op de </t>
  </si>
  <si>
    <t xml:space="preserve">bedragen, verschuldigd acht dagen na de vervaldag van de facturen. Tevens zal bij gebrek aan betaling na </t>
  </si>
  <si>
    <t>aanmaning bij gewone brief, het verschuldigde bedrag van rechtswege verhoogd worden met een forfaitaire</t>
  </si>
  <si>
    <t xml:space="preserve">vergoeding van 12 % met een minimum van € 50  voor bijkomende administratieve kosten, debiteurenbewaking </t>
  </si>
  <si>
    <t xml:space="preserve">en commerciële stoornissen. Wij behouden ons het recht voor op elk moment de leveringen te staken. Elke </t>
  </si>
  <si>
    <t xml:space="preserve">klacht over de kwaliteit van de geleverde goederen moet uiterlijk 24 uur na de levering worden overgemaakt. </t>
  </si>
  <si>
    <t xml:space="preserve">Klachten in verband met facturatie kunnen slechts in aanmerking worden genomen zo zij binnen de acht </t>
  </si>
  <si>
    <t xml:space="preserve">dagen na ontvangst van de goederen bij aangetekende brief worden meegedeeld. In geval van betwisting zijn </t>
  </si>
  <si>
    <t xml:space="preserve">uitsluitend de rechtbanken van Kortrijk bevoegd. De leveringen  geschieden op risico van de bestemmeling. Er </t>
  </si>
  <si>
    <t xml:space="preserve">wordt uitdrukkelijk overeengekomen dat de klant door het plaatsen van een bestelling onze algemene </t>
  </si>
  <si>
    <t xml:space="preserve">verkoopsvoorwaarden erkent. Elke wijziging hieraan moet voorafgaandelijk in een schriftelijk akkoord worden </t>
  </si>
  <si>
    <t>vastgelegd.</t>
  </si>
  <si>
    <t xml:space="preserve">2) Annulatie dient schriftelijk en gedateerd te geschieden. </t>
  </si>
  <si>
    <t>In geval van annulatie minder dan 60 dagen voor de activiteit blijft het voorschot eigendom van het Katelijnenhof.</t>
  </si>
  <si>
    <t>Voor annulatie minder dan 10 dagen voor de activiteit is de klant in alle gevallen verplicht 35 % van de reservatie-</t>
  </si>
  <si>
    <t>waarde van de gehele manifestatie te vergoeden.</t>
  </si>
  <si>
    <t xml:space="preserve">Bij annulatie minder dan 5 dagen voor  de activiteit is de klant in alle gevallen verplicht de reservatie waarde van de </t>
  </si>
  <si>
    <t>gehele manifestatie te vergoeden.</t>
  </si>
  <si>
    <t xml:space="preserve">3) Iedere levering van dranken, voedingswaren of diensten in de  zalen is uitsluitend voorbehouden aan het </t>
  </si>
  <si>
    <t>Katelijnenhof, tenzij er een andere schriftelijke overeenkomst is.</t>
  </si>
  <si>
    <t xml:space="preserve">4) De klant is eraan gehouden voor iedere dansavond met groot orkest een aanvraag tot toelating in te dienen bij </t>
  </si>
  <si>
    <t>5) Alle door de klant meegebrachte materiaal dient door de klant te worden verzekerd en direct na het beëindigen</t>
  </si>
  <si>
    <t xml:space="preserve">van de manifestatie te worden verwijderd uit de zaal. Het Katelijnenhof behoudt het recht de leverancier te </t>
  </si>
  <si>
    <t xml:space="preserve">aanvaarden en voorschriften te geven om de lokalen ongeschonden te behouden. Het is strikt verboden om </t>
  </si>
  <si>
    <t xml:space="preserve">versieringen aan de muren of plafonds te bevestigen met duimspijkers of kleefband ! Bij beschadigingen van </t>
  </si>
  <si>
    <t>een deel van de muur wordt het geheel als beschadigd beschouwd.</t>
  </si>
  <si>
    <t xml:space="preserve">6) Het gebruik van de zaal is strikt beperkt tot de in deze overeenkomst vastgestelde functie. </t>
  </si>
  <si>
    <t>Iedere wijziging in de voorheen verklaarde bestemming brengt automatisch het recht tot prijsherziening met zich mee.</t>
  </si>
  <si>
    <t xml:space="preserve">7) Het gebruik van de zaal is gratis van zodra het verbruik hoger ligt dan € </t>
  </si>
  <si>
    <t>op de gehele factuur. Voor traiteurdienst gelden andere kortingsregels.</t>
  </si>
  <si>
    <t xml:space="preserve">8) Op vrijdag-, zaterdag- en (in geval van een avondfeest) op zondagnacht sluit de zaal, </t>
  </si>
  <si>
    <t xml:space="preserve">overeenkomstig het politiereglement, om 03 uur. </t>
  </si>
  <si>
    <t xml:space="preserve">Indien de klant dit wenst kan een afwijking bekomen worden op dit reglement mits het betalen van € </t>
  </si>
  <si>
    <t xml:space="preserve">(btw incl.) per uur. De klant heeft tijd tot 02u30 om te beslissen of hij van deze afwijking wenst gebruik te </t>
  </si>
  <si>
    <t xml:space="preserve">maken of niet. Indien de klant akkoord gaat deze toeslag  te betalen zal het Katelijnenhof  onmiddellijk een </t>
  </si>
  <si>
    <t>aanvraag doen bij de lokale politie. In het andere geval worden vanaf 02u45 geen dranken meer bediend en</t>
  </si>
  <si>
    <t>sluiten om 03u00 de deuren. Voor de andere dagen gelden andere tarieven.</t>
  </si>
  <si>
    <t xml:space="preserve">Op een zaterdag - en zondagmiddagfeest sluit de zaal om 18u30. Indien u wenst langer te blijven wordt per </t>
  </si>
  <si>
    <t xml:space="preserve">begonnen uur eveneens een toeslag van € </t>
  </si>
  <si>
    <t>(btw incl.) aangerekend.</t>
  </si>
  <si>
    <t>Minimaal verbruik feest</t>
  </si>
  <si>
    <t>Om uw selecties te bewaren, gelieve ze op te slaan op uw harde schijf. (opslaan als)</t>
  </si>
  <si>
    <t>U vindt verder een overzicht van uw selectie</t>
  </si>
  <si>
    <r>
      <t xml:space="preserve">Het exacte aantal personen </t>
    </r>
    <r>
      <rPr>
        <b/>
        <u/>
        <sz val="11"/>
        <color indexed="8"/>
        <rFont val="Calibri"/>
        <family val="2"/>
      </rPr>
      <t>en</t>
    </r>
    <r>
      <rPr>
        <sz val="11"/>
        <color theme="1"/>
        <rFont val="Calibri"/>
        <family val="2"/>
        <scheme val="minor"/>
      </rPr>
      <t xml:space="preserve"> de tafelschikking dient ons meegedeeld te worden de vrijdag van het weekend voordien.</t>
    </r>
  </si>
  <si>
    <t>Overzicht van uw selectie:</t>
  </si>
  <si>
    <t>Keuze drank na de maaltijd:</t>
  </si>
  <si>
    <t xml:space="preserve">Groenten en sausen </t>
  </si>
  <si>
    <t>Basisprijs koud buffet (gedetailleerde samenstelling zie hoger):</t>
  </si>
  <si>
    <t>Alle drank na de maaltijd komt op één rekening en wordt door de organisator van het feest betaald</t>
  </si>
  <si>
    <t xml:space="preserve">Vegetariërs: </t>
  </si>
  <si>
    <t>nee</t>
  </si>
  <si>
    <t xml:space="preserve">Speciale dieten: </t>
  </si>
  <si>
    <t xml:space="preserve">Halal bereidingen: </t>
  </si>
  <si>
    <t xml:space="preserve">Feest met discobar: </t>
  </si>
  <si>
    <t>één rekening</t>
  </si>
  <si>
    <t>Elke gast die na de maaltijd een drankje bestelt rekent direct af aan de bar</t>
  </si>
  <si>
    <t>direct afrekenen</t>
  </si>
  <si>
    <t xml:space="preserve">Forfait voor drank naar believen (alle bieren en frisdranken van de drankkaart in de zaal) na een maaltijd. pp: </t>
  </si>
  <si>
    <t>alletwee de prijzen nodig!</t>
  </si>
  <si>
    <t xml:space="preserve">Indien  er geen volwaardige maaltijd wordt genomen, dienen er minstens 4 belegde broodjes genomen te worden en verhoogt het drankforfait tot € 28,00 </t>
  </si>
  <si>
    <t>'s middags tot 21 u - 's avonds onbeperkt. Let op! Artikel 8 van de verkoopsvoorwaarden (zie laatste bladzijde) kan hier van toepassing zijn !!!!</t>
  </si>
  <si>
    <t>Verbruik van DJ  ten laste van de klant</t>
  </si>
  <si>
    <t>Voor onze vegetarische klanten:</t>
  </si>
  <si>
    <t xml:space="preserve">- Voor onze vegetarische klanten bereiden wij graag een aparte schotel. </t>
  </si>
  <si>
    <t>Wij vragen wel met aandrang om op voorhand te melden als er vegetariërs zijn.</t>
  </si>
  <si>
    <t>Zij eten mee aan de prijs van de rest van de groep.</t>
  </si>
  <si>
    <t>Mensen met een speciaal dieet:</t>
  </si>
  <si>
    <t xml:space="preserve">Wij houden rekening met speciale wensen van mensen die een dieet volgen, </t>
  </si>
  <si>
    <t xml:space="preserve">maar alleen indien op voorhand gemeld. </t>
  </si>
  <si>
    <t>Halal kan ook, onder toezicht van een moslim bereid.</t>
  </si>
  <si>
    <t>ja</t>
  </si>
  <si>
    <t xml:space="preserve">SABAM, Rijselsestraat 51, 8500 Kortrijk, Tel : 056/210738 en alle kosten voortvloeiend uit deze aanvraag te </t>
  </si>
  <si>
    <t xml:space="preserve">dragen.  Voor een gewone disc-jockey betalen wij jaarlijks een vaste bijdrage. Het verbruik (drank en voeding) </t>
  </si>
  <si>
    <t xml:space="preserve">van de DJ is ten laste van de klant. Gelet op de nieuwe geluidsnormen, van kracht op 01/01/2013, moet de </t>
  </si>
  <si>
    <t xml:space="preserve">klant de DJ of elke andere persoon of toestel dat  geluid produceert verplichten zich aan deze normen te houden. </t>
  </si>
  <si>
    <t xml:space="preserve">De toelating voor onze zaal is – maximaal geluidsniveau &gt; 85 dB(A) LAeq,15min en ≤ 95 dB(A) LAeq,15min. </t>
  </si>
  <si>
    <t>klant. Er wordt een professionele houding van elke DJ of geluidstechnicus verwacht.</t>
  </si>
  <si>
    <t xml:space="preserve">9) De klant is verantwoordelijk voor de goede orde in en rond de feestzaal. Schade veroorzaakt door een der </t>
  </si>
  <si>
    <t xml:space="preserve">aanwezigen kan verhaald worden op deze persoon maar als deze om gelijk welke reden de schade niet kan </t>
  </si>
  <si>
    <t xml:space="preserve">vergoeden (vb: te weinig financiële middelen of de veroorzaker is onbekend) kan deze schade eveneens </t>
  </si>
  <si>
    <t xml:space="preserve">ondeelbaar worden verhaald op de klant , zijnde de persoon die het feest heeft besteld. VB: per gebroken tulpje </t>
  </si>
  <si>
    <t>aan de lusters van de grote zaal wordt 25 euro aangerekend.</t>
  </si>
  <si>
    <t xml:space="preserve">Dit is ruim voldoende. Alle boetes ten gevolge een overschrijding van deze voorwaarde zijn ten laste van de </t>
  </si>
  <si>
    <t>Gaat u akkoord met de algemene verkoopsvoorwaarden?</t>
  </si>
  <si>
    <t>uur van aankomst:</t>
  </si>
  <si>
    <t>aan tafel om:</t>
  </si>
  <si>
    <t>Uw naam:</t>
  </si>
  <si>
    <t>Adres:</t>
  </si>
  <si>
    <t>Stad:</t>
  </si>
  <si>
    <t>Tel nr:</t>
  </si>
  <si>
    <t>Naam Klant:</t>
  </si>
  <si>
    <t>Katelijnenhof</t>
  </si>
  <si>
    <t>Heirweg 172</t>
  </si>
  <si>
    <t>8800 Roeselare</t>
  </si>
  <si>
    <t>Gsm 0475/618058</t>
  </si>
  <si>
    <t>Datum activiteit:</t>
  </si>
  <si>
    <t>aankomst om:</t>
  </si>
  <si>
    <t>volwassenen:</t>
  </si>
  <si>
    <t>JR 1/2 (6 t.e.m. 11) :</t>
  </si>
  <si>
    <t>JR 1/3 (3 t.e.m. 5) :</t>
  </si>
  <si>
    <t>JR gratis (0 t.e.m. 2) :</t>
  </si>
  <si>
    <t>Voorkeur tafelschikking:</t>
  </si>
  <si>
    <t xml:space="preserve">Het juiste aantal EN de gewenste tafelschikking moet ons meegedeeld worden ten laatste op: </t>
  </si>
  <si>
    <t>Wijzigingen na deze datum van aantal en/of tafelschikking hebben prijsherzieningen tot gevolg!</t>
  </si>
  <si>
    <t xml:space="preserve">Dit aantal geldt als minimum voor facturatie. Verdere verkoopsvoorwaarden op een ander werkblad. </t>
  </si>
  <si>
    <t>Vergeet ze niet te lezen.</t>
  </si>
  <si>
    <t>Handtekening der beide partijen voor akkoord:</t>
  </si>
  <si>
    <t>De klant</t>
  </si>
  <si>
    <t>Het Katelijnenhof</t>
  </si>
  <si>
    <t>Koud buffet met volgende specialiteiten:</t>
  </si>
  <si>
    <t>Geschat factuurtotaal:</t>
  </si>
  <si>
    <t>(Gebaseerd op de door u ingebrachte gegevens)</t>
  </si>
  <si>
    <t>korting bij contante betaling:</t>
  </si>
  <si>
    <t>saldo:</t>
  </si>
  <si>
    <t>raming totaal 1:</t>
  </si>
  <si>
    <t>ander rekenblad:</t>
  </si>
  <si>
    <t>huur zaal:</t>
  </si>
  <si>
    <t>geraamde totalen uit andere rekenbladen:</t>
  </si>
  <si>
    <t>(vb: kindermenus)</t>
  </si>
  <si>
    <t>geen voorkeur</t>
  </si>
  <si>
    <t>zoveel mogelijk ronde tafels van 6 à 8 personen</t>
  </si>
  <si>
    <t>liever lange tafels ev. In U-vorm of H-vorm.</t>
  </si>
  <si>
    <t>reden feest:</t>
  </si>
  <si>
    <t>Opmerking:</t>
  </si>
  <si>
    <t>lam, zwanen enz..  . Met foto suppl.</t>
  </si>
  <si>
    <t xml:space="preserve">Foto op de taart: suppl. € </t>
  </si>
  <si>
    <t xml:space="preserve">per stuk taart en € </t>
  </si>
  <si>
    <t xml:space="preserve"> per foto</t>
  </si>
  <si>
    <t>uitgebreide fomule met toostjes in menuvorm (max 3uur)</t>
  </si>
  <si>
    <t>Belangrijk: De prijs van dit dessertbuffet geldt alleen indien voorafgegaan door een maaltijd!!</t>
  </si>
  <si>
    <t xml:space="preserve">Vrij groot stuk met slagroom. Foto op de taart: suppl. € 0,7 per stuk taart en € 10 per foto </t>
  </si>
  <si>
    <t>info@katelijnenhof.be</t>
  </si>
  <si>
    <t>Indien een genodigde een extra aperitief bestelt of een aperitief wenst die niet in de prijs begrepen is dan:</t>
  </si>
  <si>
    <t>De gast die een extra aperitief bestelt betaalt deze zelf</t>
  </si>
  <si>
    <t>Huiswijn, bieren en frisdranken als forfait</t>
  </si>
  <si>
    <t>raming te betalen indien contante betaling  (max € 3000 cash):</t>
  </si>
  <si>
    <t xml:space="preserve">Indien uw feest cash (max € 3000) betaald wordt op de dag zelf dan krijgt u een korting van 2 % </t>
  </si>
  <si>
    <t>halve tomaat belegd met krabsla</t>
  </si>
  <si>
    <t>IJstaart ambachtelijk, speciale vorm, smaak naar keuze</t>
  </si>
  <si>
    <t>- frambozentaart</t>
  </si>
  <si>
    <t>- progres</t>
  </si>
  <si>
    <t>Een klassieker.</t>
  </si>
  <si>
    <t>- fruitgebakje</t>
  </si>
  <si>
    <t>- biscuit crème fraiche met coulis</t>
  </si>
  <si>
    <t>- warme appeltaart met een bolletje ijs</t>
  </si>
  <si>
    <t>- zwarte woudtaart</t>
  </si>
  <si>
    <t>Biscuit met cacaopoeder in een tasje.</t>
  </si>
  <si>
    <t>geraamd aantal kinderen 6 j. t.e.m. 11 jr. 11 maand:</t>
  </si>
  <si>
    <t>wachtbordje van lauw slaatje met gerookte zalm en scampi's</t>
  </si>
  <si>
    <t>Wijze van betaling:</t>
  </si>
  <si>
    <t>Uitsplitsing per BTW tarief.</t>
  </si>
  <si>
    <t>Totaalprijs per vol:</t>
  </si>
  <si>
    <t>Menu</t>
  </si>
  <si>
    <t>Totaal aan 21%</t>
  </si>
  <si>
    <t>aantal</t>
  </si>
  <si>
    <t>totaal:</t>
  </si>
  <si>
    <t>deel 12%</t>
  </si>
  <si>
    <t>deel21%</t>
  </si>
  <si>
    <t>Vol</t>
  </si>
  <si>
    <t>JR 1/2</t>
  </si>
  <si>
    <t>JR 1/3</t>
  </si>
  <si>
    <t>JR gratis</t>
  </si>
  <si>
    <t>Wenst u een factuur?</t>
  </si>
  <si>
    <t>Factuur:</t>
  </si>
  <si>
    <r>
      <t xml:space="preserve">raming </t>
    </r>
    <r>
      <rPr>
        <b/>
        <sz val="11"/>
        <color indexed="8"/>
        <rFont val="Calibri"/>
        <family val="2"/>
        <scheme val="minor"/>
      </rPr>
      <t>algemeen</t>
    </r>
    <r>
      <rPr>
        <sz val="11"/>
        <color theme="1"/>
        <rFont val="Calibri"/>
        <family val="2"/>
        <scheme val="minor"/>
      </rPr>
      <t xml:space="preserve"> totaal:</t>
    </r>
  </si>
  <si>
    <t>x</t>
  </si>
  <si>
    <t>Dep. B</t>
  </si>
  <si>
    <t>Dep. A</t>
  </si>
  <si>
    <t>Voorschot reeds betaald:</t>
  </si>
  <si>
    <t>Gestort / betaald op:</t>
  </si>
  <si>
    <t>Voorschot wordt gesplitst over:</t>
  </si>
  <si>
    <t xml:space="preserve"> volwassenen</t>
  </si>
  <si>
    <t>Input GKS:</t>
  </si>
  <si>
    <t>vol</t>
  </si>
  <si>
    <t>Verwerking voorschot</t>
  </si>
  <si>
    <t>Totale boekwaarde:</t>
  </si>
  <si>
    <t xml:space="preserve">Totaal aantal personen: </t>
  </si>
  <si>
    <t xml:space="preserve">Reservatievoorstel    </t>
  </si>
  <si>
    <t>De aanpassing gebeurt ondertussen automatisch</t>
  </si>
  <si>
    <t>tapenades</t>
  </si>
  <si>
    <t>TIP:</t>
  </si>
  <si>
    <t>Schuimwijn van het huis (reeds inbegrepen)</t>
  </si>
  <si>
    <t>kost evenveel als</t>
  </si>
  <si>
    <t>scampi enz….</t>
  </si>
  <si>
    <t>en nog veel mogelijkheden</t>
  </si>
  <si>
    <t>Domaine Joel Delauny Touraine  en/of Château Reynier, Bordeaux superieur,  bieren en frisdranken</t>
  </si>
  <si>
    <t>Coupe met vers fruit en verse slagroom.</t>
  </si>
  <si>
    <t>Vanilleijs, vers fruit en verse slagroom</t>
  </si>
  <si>
    <t>Coupe met aardbeien en verse slagroom.</t>
  </si>
  <si>
    <t>Vanilleijs, verse aardbeien en verse slagroom</t>
  </si>
  <si>
    <t>Basis dessertbuffet met:</t>
  </si>
  <si>
    <t>vers fruit, verschillende soorten sorbet, chocolademousse, roomijs</t>
  </si>
  <si>
    <t>Uitgebreid dessertbuffet met:</t>
  </si>
  <si>
    <t>variatie van miserable, javanais, pasteis de nata, roomsoes, speculoostaart,</t>
  </si>
  <si>
    <t>Uitgebreid en luxueus dessertbuffet met:</t>
  </si>
  <si>
    <t>Neem contact op met de zaakvoerder op tel nr 0475/618058</t>
  </si>
  <si>
    <t>om hier zeker geen misverstanden over te hebben!</t>
  </si>
  <si>
    <t xml:space="preserve">Allergenen: </t>
  </si>
  <si>
    <t>Betaling op de dag zelf (cash of bancontact), u bekomt 2% korting op het totaal</t>
  </si>
  <si>
    <t>assortiment van mini-bavarois (framboos-passie-zwarte woud-pistache-chocolade praliné)</t>
  </si>
  <si>
    <t>dessertglaasjes (framboos-amandel - trio chocolade - mango-caramel - chocolade praliné)</t>
  </si>
  <si>
    <t>email:</t>
  </si>
  <si>
    <t>email klant:</t>
  </si>
  <si>
    <t>dranken inbegrepen</t>
  </si>
  <si>
    <t>Keuze aperitiefhapjes:</t>
  </si>
  <si>
    <t>gedurende 2 uur</t>
  </si>
  <si>
    <t>Met tapenades:</t>
  </si>
  <si>
    <t>met huis schuimwijn,</t>
  </si>
  <si>
    <t>luzerne met gerookte zalm, eitjes van vliegende vis in wasabi</t>
  </si>
  <si>
    <t>tonijn / pesto spread rosso /zoete peper roomkaas</t>
  </si>
  <si>
    <t>frisdranken en</t>
  </si>
  <si>
    <t>preischeuten met tijgergarnalen en mini tomaat</t>
  </si>
  <si>
    <t>bieren naar believen.</t>
  </si>
  <si>
    <t>aperoglaasje parmaham met meloenbolletjes</t>
  </si>
  <si>
    <t>nootjes en chips inbegr.</t>
  </si>
  <si>
    <t xml:space="preserve">Assortiment van 4  </t>
  </si>
  <si>
    <t>Ook inbegrepen:</t>
  </si>
  <si>
    <t>aperoglaasje parmaham met espuma van mango</t>
  </si>
  <si>
    <t xml:space="preserve">Roomijs </t>
  </si>
  <si>
    <t>aperitiefglaasjes</t>
  </si>
  <si>
    <t>verse oester</t>
  </si>
  <si>
    <t>Bruine chocolademousse</t>
  </si>
  <si>
    <t>inbegrepen.</t>
  </si>
  <si>
    <t>Taboulé met gerookte forel</t>
  </si>
  <si>
    <t>Pasteis de nata</t>
  </si>
  <si>
    <t>Maak uw keuze</t>
  </si>
  <si>
    <t>Haringhapje met curry</t>
  </si>
  <si>
    <t>Chocoladebavarois</t>
  </si>
  <si>
    <t>2 aperitieven pp.</t>
  </si>
  <si>
    <t>hier rechts! =&gt;</t>
  </si>
  <si>
    <t>Miserable</t>
  </si>
  <si>
    <t>En dan is de drank naar</t>
  </si>
  <si>
    <t>glaasje fruitsla met perensorbet</t>
  </si>
  <si>
    <t>believen!</t>
  </si>
  <si>
    <t>Liever meer dan 4 hapjes? Geen probleem.</t>
  </si>
  <si>
    <t>Bord met olijven, kaasjes en salamietjes</t>
  </si>
  <si>
    <t xml:space="preserve">Witte chocolademousse </t>
  </si>
  <si>
    <t>En met tapenades!</t>
  </si>
  <si>
    <t>Het supplement bedraagt € 1,60 per hapje</t>
  </si>
  <si>
    <t>Bord met 3 tapenades (tonijn / pesto spread rosso /zoete peper roomkaas)</t>
  </si>
  <si>
    <t xml:space="preserve">Roomsoes met warme chocoladesaus </t>
  </si>
  <si>
    <t>Tiramisu</t>
  </si>
  <si>
    <t>Breydelspek met mosterdroomsaus</t>
  </si>
  <si>
    <t>Javanais</t>
  </si>
  <si>
    <t>aperoglaasje scampi</t>
  </si>
  <si>
    <t xml:space="preserve">Gebak peer-caramel </t>
  </si>
  <si>
    <t>Warme dagvis met curry</t>
  </si>
  <si>
    <t>mini fruittaartje</t>
  </si>
  <si>
    <t>een gevuld toastcupje</t>
  </si>
  <si>
    <t xml:space="preserve">oester met champagnesaus </t>
  </si>
  <si>
    <t>Aspergeroomsoep met koornbloemblaadjes</t>
  </si>
  <si>
    <t>Pompoensoep (sept. okt. nov.)</t>
  </si>
  <si>
    <t>Kervelroomsoep met gerookte eend</t>
  </si>
  <si>
    <t>Preiroomsoep met broccoligarnituur en gebakken spekjes</t>
  </si>
  <si>
    <t>Soepje van boschampignons met gerookte paling</t>
  </si>
  <si>
    <t>fini</t>
  </si>
  <si>
    <t>supplement per stukje gebak:</t>
  </si>
  <si>
    <t>Stel hieronder uw mini dessertbordje samen met minstens 4 dessertjes</t>
  </si>
  <si>
    <t xml:space="preserve">Keuze: Roomijs en/of Bruine chocolademousse en/of Pasteis de nata en/of </t>
  </si>
  <si>
    <t xml:space="preserve">Chocoladebavarois en/of Miserable en/of glaasje fruitsla met perensorbet en/of </t>
  </si>
  <si>
    <t xml:space="preserve">Witte chocolademousse en/of Roomsoes met warme chocoladesaus en/of Tiramisu en/of </t>
  </si>
  <si>
    <t>Javanais en/of Gebak peer-caramel en/of mini fruittaartje.</t>
  </si>
  <si>
    <t>Selecteer hier uw hapjes:</t>
  </si>
  <si>
    <t>hapjes geselecteerd.</t>
  </si>
  <si>
    <t>Storting op BE 48 4631 1391 2127 min. 7 dagen voor het feest, 2% korting</t>
  </si>
  <si>
    <t>Betaling na het feest. Gelieve 40 % voorschot te storten op BE48 4631 1391 2127. Geen korting.</t>
  </si>
  <si>
    <t>mini kippenboutje</t>
  </si>
  <si>
    <t>ganache van foie gras met frambozenconfituur en amandelbrood</t>
  </si>
  <si>
    <t>Het mag op de gemeenschappelijke rekening.</t>
  </si>
  <si>
    <t>Mini bagel met zalm en kruidenkaas</t>
  </si>
  <si>
    <t>BORD: op tafel met rauwe groenten en cocktailsaus (wortel, bloemkool, radijs)</t>
  </si>
  <si>
    <t>WARM: mini hot-dog</t>
  </si>
  <si>
    <t>Gepaneerde garnalen butterfly</t>
  </si>
  <si>
    <t>SOEP van kreeft</t>
  </si>
  <si>
    <t>KOUD: crunchy sushi</t>
  </si>
  <si>
    <t>Exclusiviteit voor beide zalen: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</si>
</sst>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&quot;€&quot;\ #,##0.00"/>
    <numFmt numFmtId="166" formatCode="d/mm/yyyy;@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u/>
      <sz val="11"/>
      <color indexed="8"/>
      <name val="Calibri"/>
      <family val="2"/>
    </font>
    <font>
      <b/>
      <sz val="20"/>
      <name val="Calibri"/>
      <family val="2"/>
    </font>
    <font>
      <b/>
      <u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Arial"/>
      <family val="2"/>
    </font>
    <font>
      <b/>
      <i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2" fontId="0" fillId="0" borderId="0" xfId="0" applyNumberFormat="1"/>
    <xf numFmtId="2" fontId="0" fillId="0" borderId="3" xfId="0" quotePrefix="1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2" fontId="0" fillId="0" borderId="0" xfId="0" applyNumberFormat="1" applyAlignment="1">
      <alignment horizontal="right"/>
    </xf>
    <xf numFmtId="2" fontId="11" fillId="3" borderId="4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left"/>
    </xf>
    <xf numFmtId="0" fontId="0" fillId="2" borderId="0" xfId="0" applyFill="1" applyAlignment="1">
      <alignment horizontal="center"/>
    </xf>
    <xf numFmtId="0" fontId="0" fillId="4" borderId="0" xfId="0" applyFill="1" applyProtection="1">
      <protection locked="0" hidden="1"/>
    </xf>
    <xf numFmtId="0" fontId="0" fillId="0" borderId="0" xfId="0" applyAlignment="1">
      <alignment horizontal="right"/>
    </xf>
    <xf numFmtId="14" fontId="0" fillId="4" borderId="0" xfId="0" applyNumberFormat="1" applyFill="1" applyProtection="1">
      <protection locked="0" hidden="1"/>
    </xf>
    <xf numFmtId="0" fontId="0" fillId="0" borderId="0" xfId="0" applyBorder="1" applyAlignment="1">
      <alignment horizontal="right"/>
    </xf>
    <xf numFmtId="0" fontId="0" fillId="0" borderId="0" xfId="0" applyProtection="1">
      <protection hidden="1"/>
    </xf>
    <xf numFmtId="0" fontId="7" fillId="5" borderId="0" xfId="0" applyFont="1" applyFill="1"/>
    <xf numFmtId="0" fontId="0" fillId="5" borderId="0" xfId="0" applyFill="1"/>
    <xf numFmtId="0" fontId="14" fillId="5" borderId="5" xfId="0" applyFont="1" applyFill="1" applyBorder="1"/>
    <xf numFmtId="0" fontId="0" fillId="5" borderId="6" xfId="0" applyFill="1" applyBorder="1"/>
    <xf numFmtId="2" fontId="0" fillId="5" borderId="7" xfId="0" applyNumberFormat="1" applyFill="1" applyBorder="1"/>
    <xf numFmtId="0" fontId="0" fillId="5" borderId="8" xfId="0" applyFont="1" applyFill="1" applyBorder="1"/>
    <xf numFmtId="0" fontId="0" fillId="5" borderId="0" xfId="0" applyFill="1" applyBorder="1"/>
    <xf numFmtId="2" fontId="0" fillId="5" borderId="9" xfId="0" applyNumberFormat="1" applyFill="1" applyBorder="1"/>
    <xf numFmtId="2" fontId="0" fillId="5" borderId="9" xfId="0" applyNumberFormat="1" applyFill="1" applyBorder="1" applyAlignment="1">
      <alignment horizontal="right"/>
    </xf>
    <xf numFmtId="0" fontId="0" fillId="5" borderId="10" xfId="0" applyFont="1" applyFill="1" applyBorder="1"/>
    <xf numFmtId="0" fontId="0" fillId="5" borderId="11" xfId="0" applyFill="1" applyBorder="1"/>
    <xf numFmtId="2" fontId="0" fillId="5" borderId="12" xfId="0" applyNumberFormat="1" applyFill="1" applyBorder="1"/>
    <xf numFmtId="0" fontId="0" fillId="5" borderId="13" xfId="0" applyFill="1" applyBorder="1"/>
    <xf numFmtId="0" fontId="0" fillId="5" borderId="14" xfId="0" applyFill="1" applyBorder="1"/>
    <xf numFmtId="2" fontId="0" fillId="5" borderId="15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5" borderId="11" xfId="0" applyFill="1" applyBorder="1" applyAlignment="1">
      <alignment horizontal="right"/>
    </xf>
    <xf numFmtId="2" fontId="6" fillId="0" borderId="0" xfId="0" applyNumberFormat="1" applyFont="1"/>
    <xf numFmtId="0" fontId="0" fillId="0" borderId="0" xfId="0" applyAlignment="1">
      <alignment horizontal="left"/>
    </xf>
    <xf numFmtId="0" fontId="15" fillId="0" borderId="0" xfId="0" applyFont="1" applyBorder="1"/>
    <xf numFmtId="0" fontId="0" fillId="0" borderId="0" xfId="0" applyFill="1" applyBorder="1" applyAlignment="1">
      <alignment horizontal="right"/>
    </xf>
    <xf numFmtId="165" fontId="0" fillId="5" borderId="4" xfId="0" applyNumberFormat="1" applyFill="1" applyBorder="1"/>
    <xf numFmtId="164" fontId="0" fillId="4" borderId="0" xfId="0" applyNumberFormat="1" applyFill="1" applyProtection="1">
      <protection locked="0" hidden="1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/>
    <xf numFmtId="2" fontId="1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/>
    </xf>
    <xf numFmtId="0" fontId="18" fillId="0" borderId="0" xfId="0" applyFont="1"/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/>
    <xf numFmtId="0" fontId="19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0" fillId="6" borderId="0" xfId="0" applyFont="1" applyFill="1"/>
    <xf numFmtId="0" fontId="20" fillId="0" borderId="0" xfId="0" applyFont="1" applyAlignment="1">
      <alignment vertical="center"/>
    </xf>
    <xf numFmtId="14" fontId="0" fillId="0" borderId="0" xfId="0" applyNumberFormat="1" applyFont="1"/>
    <xf numFmtId="165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11" xfId="0" applyFont="1" applyBorder="1"/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17" fillId="0" borderId="23" xfId="0" applyNumberFormat="1" applyFont="1" applyBorder="1"/>
    <xf numFmtId="2" fontId="17" fillId="0" borderId="26" xfId="0" applyNumberFormat="1" applyFont="1" applyBorder="1"/>
    <xf numFmtId="2" fontId="0" fillId="0" borderId="27" xfId="0" applyNumberFormat="1" applyFont="1" applyBorder="1" applyAlignment="1">
      <alignment horizontal="center"/>
    </xf>
    <xf numFmtId="2" fontId="17" fillId="0" borderId="28" xfId="0" applyNumberFormat="1" applyFont="1" applyBorder="1"/>
    <xf numFmtId="2" fontId="17" fillId="0" borderId="23" xfId="0" applyNumberFormat="1" applyFont="1" applyBorder="1" applyAlignment="1">
      <alignment horizontal="right"/>
    </xf>
    <xf numFmtId="0" fontId="0" fillId="2" borderId="29" xfId="0" applyFont="1" applyFill="1" applyBorder="1" applyAlignment="1">
      <alignment horizontal="center"/>
    </xf>
    <xf numFmtId="2" fontId="17" fillId="0" borderId="26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2" fillId="0" borderId="0" xfId="0" applyFont="1" applyBorder="1"/>
    <xf numFmtId="0" fontId="0" fillId="0" borderId="9" xfId="0" applyFont="1" applyBorder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9" fontId="0" fillId="0" borderId="36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2" borderId="23" xfId="0" applyFill="1" applyBorder="1"/>
    <xf numFmtId="0" fontId="0" fillId="2" borderId="26" xfId="0" applyFill="1" applyBorder="1"/>
    <xf numFmtId="0" fontId="0" fillId="2" borderId="28" xfId="0" applyFill="1" applyBorder="1"/>
    <xf numFmtId="0" fontId="0" fillId="4" borderId="0" xfId="0" applyFill="1"/>
    <xf numFmtId="0" fontId="0" fillId="4" borderId="0" xfId="0" applyFill="1" applyProtection="1">
      <protection locked="0"/>
    </xf>
    <xf numFmtId="14" fontId="6" fillId="0" borderId="0" xfId="0" applyNumberFormat="1" applyFont="1"/>
    <xf numFmtId="0" fontId="24" fillId="0" borderId="0" xfId="0" applyFont="1" applyAlignment="1">
      <alignment horizontal="right" vertical="center"/>
    </xf>
    <xf numFmtId="166" fontId="6" fillId="0" borderId="0" xfId="0" applyNumberFormat="1" applyFont="1"/>
    <xf numFmtId="0" fontId="6" fillId="0" borderId="0" xfId="0" applyFont="1" applyFill="1"/>
    <xf numFmtId="2" fontId="6" fillId="0" borderId="0" xfId="0" applyNumberFormat="1" applyFont="1" applyFill="1"/>
    <xf numFmtId="0" fontId="6" fillId="8" borderId="0" xfId="0" applyFont="1" applyFill="1"/>
    <xf numFmtId="165" fontId="6" fillId="8" borderId="0" xfId="0" applyNumberFormat="1" applyFont="1" applyFill="1"/>
    <xf numFmtId="0" fontId="6" fillId="0" borderId="0" xfId="0" applyFont="1" applyFill="1" applyAlignment="1">
      <alignment textRotation="45"/>
    </xf>
    <xf numFmtId="0" fontId="6" fillId="0" borderId="0" xfId="0" applyFont="1" applyFill="1" applyAlignment="1"/>
    <xf numFmtId="165" fontId="6" fillId="0" borderId="0" xfId="0" applyNumberFormat="1" applyFont="1" applyFill="1"/>
    <xf numFmtId="2" fontId="6" fillId="8" borderId="0" xfId="0" applyNumberFormat="1" applyFont="1" applyFill="1"/>
    <xf numFmtId="0" fontId="27" fillId="0" borderId="0" xfId="0" applyFont="1" applyFill="1"/>
    <xf numFmtId="0" fontId="26" fillId="0" borderId="16" xfId="0" applyFont="1" applyFill="1" applyBorder="1"/>
    <xf numFmtId="0" fontId="26" fillId="0" borderId="17" xfId="0" applyFont="1" applyFill="1" applyBorder="1"/>
    <xf numFmtId="0" fontId="26" fillId="0" borderId="18" xfId="0" applyFont="1" applyFill="1" applyBorder="1"/>
    <xf numFmtId="2" fontId="6" fillId="8" borderId="8" xfId="0" applyNumberFormat="1" applyFont="1" applyFill="1" applyBorder="1"/>
    <xf numFmtId="0" fontId="26" fillId="0" borderId="0" xfId="0" applyFont="1" applyFill="1" applyBorder="1"/>
    <xf numFmtId="0" fontId="26" fillId="0" borderId="9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2" fontId="6" fillId="4" borderId="0" xfId="0" applyNumberFormat="1" applyFont="1" applyFill="1"/>
    <xf numFmtId="0" fontId="6" fillId="4" borderId="0" xfId="0" applyFont="1" applyFill="1"/>
    <xf numFmtId="2" fontId="28" fillId="0" borderId="0" xfId="0" applyNumberFormat="1" applyFont="1"/>
    <xf numFmtId="2" fontId="28" fillId="8" borderId="0" xfId="0" applyNumberFormat="1" applyFont="1" applyFill="1" applyAlignment="1">
      <alignment horizontal="center"/>
    </xf>
    <xf numFmtId="2" fontId="28" fillId="7" borderId="0" xfId="0" applyNumberFormat="1" applyFont="1" applyFill="1" applyAlignment="1">
      <alignment horizontal="center"/>
    </xf>
    <xf numFmtId="2" fontId="29" fillId="0" borderId="0" xfId="0" applyNumberFormat="1" applyFont="1" applyAlignment="1">
      <alignment horizontal="left"/>
    </xf>
    <xf numFmtId="0" fontId="0" fillId="4" borderId="0" xfId="0" applyFill="1" applyAlignment="1" applyProtection="1">
      <alignment horizontal="left"/>
      <protection locked="0" hidden="1"/>
    </xf>
    <xf numFmtId="0" fontId="0" fillId="4" borderId="0" xfId="0" applyFill="1" applyAlignment="1" applyProtection="1">
      <alignment horizontal="left" vertical="top" wrapText="1"/>
      <protection locked="0" hidden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20" fillId="0" borderId="3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2" fontId="0" fillId="0" borderId="36" xfId="0" applyNumberFormat="1" applyFont="1" applyBorder="1" applyAlignment="1">
      <alignment horizontal="left" wrapText="1"/>
    </xf>
    <xf numFmtId="2" fontId="0" fillId="0" borderId="37" xfId="0" applyNumberFormat="1" applyFont="1" applyBorder="1" applyAlignment="1">
      <alignment horizontal="left" wrapText="1"/>
    </xf>
    <xf numFmtId="0" fontId="0" fillId="0" borderId="38" xfId="0" applyFont="1" applyBorder="1" applyAlignment="1">
      <alignment horizontal="left" vertical="top" wrapText="1"/>
    </xf>
    <xf numFmtId="14" fontId="0" fillId="9" borderId="20" xfId="0" applyNumberFormat="1" applyFont="1" applyFill="1" applyBorder="1" applyAlignment="1">
      <alignment horizontal="left" vertical="top"/>
    </xf>
    <xf numFmtId="0" fontId="0" fillId="9" borderId="22" xfId="0" applyFont="1" applyFill="1" applyBorder="1" applyAlignment="1">
      <alignment horizontal="left" vertical="top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left" wrapText="1"/>
    </xf>
  </cellXfs>
  <cellStyles count="1"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fgColor indexed="64"/>
          <bgColor theme="6" tint="0.599963377788628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4</xdr:row>
          <xdr:rowOff>57150</xdr:rowOff>
        </xdr:from>
        <xdr:to>
          <xdr:col>1</xdr:col>
          <xdr:colOff>1819275</xdr:colOff>
          <xdr:row>7</xdr:row>
          <xdr:rowOff>142875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HERBEGIN. Druk op deze knop om alles terug op de startwaarde te zetten.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2047875</xdr:colOff>
          <xdr:row>4</xdr:row>
          <xdr:rowOff>95250</xdr:rowOff>
        </xdr:from>
        <xdr:to>
          <xdr:col>1</xdr:col>
          <xdr:colOff>3886200</xdr:colOff>
          <xdr:row>7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een voorstel af.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495300</xdr:colOff>
          <xdr:row>0</xdr:row>
          <xdr:rowOff>66675</xdr:rowOff>
        </xdr:from>
        <xdr:to>
          <xdr:col>8</xdr:col>
          <xdr:colOff>685800</xdr:colOff>
          <xdr:row>1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dit voorstel af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180975</xdr:colOff>
          <xdr:row>2</xdr:row>
          <xdr:rowOff>9525</xdr:rowOff>
        </xdr:from>
        <xdr:to>
          <xdr:col>19</xdr:col>
          <xdr:colOff>333375</xdr:colOff>
          <xdr:row>3</xdr:row>
          <xdr:rowOff>95250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209550</xdr:colOff>
          <xdr:row>4</xdr:row>
          <xdr:rowOff>28575</xdr:rowOff>
        </xdr:from>
        <xdr:to>
          <xdr:col>19</xdr:col>
          <xdr:colOff>333375</xdr:colOff>
          <xdr:row>5</xdr:row>
          <xdr:rowOff>85725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228600</xdr:colOff>
          <xdr:row>6</xdr:row>
          <xdr:rowOff>38100</xdr:rowOff>
        </xdr:from>
        <xdr:to>
          <xdr:col>19</xdr:col>
          <xdr:colOff>352425</xdr:colOff>
          <xdr:row>7</xdr:row>
          <xdr:rowOff>76200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247650</xdr:colOff>
          <xdr:row>7</xdr:row>
          <xdr:rowOff>161925</xdr:rowOff>
        </xdr:from>
        <xdr:to>
          <xdr:col>19</xdr:col>
          <xdr:colOff>209550</xdr:colOff>
          <xdr:row>9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9</xdr:row>
          <xdr:rowOff>152400</xdr:rowOff>
        </xdr:from>
        <xdr:to>
          <xdr:col>19</xdr:col>
          <xdr:colOff>219075</xdr:colOff>
          <xdr:row>10</xdr:row>
          <xdr:rowOff>161925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us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's"/>
      <sheetName val="matrixen"/>
      <sheetName val="Algemene verkoopsvoorwaarden"/>
      <sheetName val="Reservatievoorstel"/>
    </sheetNames>
    <sheetDataSet>
      <sheetData sheetId="0">
        <row r="13">
          <cell r="AG13" t="str">
            <v>KOUD: crunchy sushi</v>
          </cell>
        </row>
        <row r="14">
          <cell r="AG14" t="str">
            <v>luzerne met gerookte zalm, eitjes van vliegende vis in wasabi</v>
          </cell>
        </row>
        <row r="15">
          <cell r="AG15" t="str">
            <v>preischeuten met tijgergarnalen en mini tomaat</v>
          </cell>
        </row>
        <row r="16">
          <cell r="AG16" t="str">
            <v>aperoglaasje parmaham met meloenbolletjes</v>
          </cell>
        </row>
        <row r="17">
          <cell r="AG17" t="str">
            <v>ganache van foie gras met frambozenconfituur en amandelbrood</v>
          </cell>
        </row>
        <row r="18">
          <cell r="AG18" t="str">
            <v>aperoglaasje parmaham met espuma van mango</v>
          </cell>
        </row>
        <row r="19">
          <cell r="AG19" t="str">
            <v>verse oester</v>
          </cell>
        </row>
        <row r="20">
          <cell r="AG20" t="str">
            <v>Taboulé met gerookte forel</v>
          </cell>
        </row>
        <row r="21">
          <cell r="AG21" t="str">
            <v>Haringhapje met curry</v>
          </cell>
        </row>
        <row r="22">
          <cell r="AG22" t="str">
            <v>Mini bagel met zalm en kruidenkaas</v>
          </cell>
        </row>
        <row r="23">
          <cell r="AG23" t="str">
            <v>BORD: op tafel met rauwe groenten en cocktailsaus (wortel, bloemkool, radijs)</v>
          </cell>
        </row>
        <row r="24">
          <cell r="AG24" t="str">
            <v>Bord met olijven, kaasjes en salamietjes</v>
          </cell>
        </row>
        <row r="25">
          <cell r="AG25" t="str">
            <v>Bord met 3 tapenades (tonijn / pesto spread rosso /zoete peper roomkaas)</v>
          </cell>
        </row>
        <row r="26">
          <cell r="AG26" t="str">
            <v>WARM: mini hot-dog</v>
          </cell>
        </row>
        <row r="27">
          <cell r="AG27" t="str">
            <v>Breydelspek met mosterdroomsaus</v>
          </cell>
        </row>
        <row r="28">
          <cell r="AG28" t="str">
            <v>aperoglaasje scampi</v>
          </cell>
        </row>
        <row r="29">
          <cell r="AG29" t="str">
            <v>Warme dagvis met curry</v>
          </cell>
        </row>
        <row r="30">
          <cell r="AG30" t="str">
            <v>een gevuld toastcupje</v>
          </cell>
        </row>
        <row r="31">
          <cell r="AG31" t="str">
            <v xml:space="preserve">oester met champagnesaus </v>
          </cell>
        </row>
        <row r="32">
          <cell r="AG32" t="str">
            <v>garnaal in filo</v>
          </cell>
        </row>
        <row r="33">
          <cell r="AG33" t="str">
            <v>mini croque</v>
          </cell>
        </row>
        <row r="34">
          <cell r="AG34" t="str">
            <v>mini loempia</v>
          </cell>
        </row>
        <row r="35">
          <cell r="AG35" t="str">
            <v>mini kippenboutje</v>
          </cell>
        </row>
        <row r="36">
          <cell r="AG36" t="str">
            <v>Gepaneerde garnalen butterfly</v>
          </cell>
        </row>
        <row r="37">
          <cell r="AG37" t="str">
            <v>SOEP van kreeft</v>
          </cell>
        </row>
        <row r="38">
          <cell r="AG38" t="str">
            <v>Aspergeroomsoep met koornbloemblaadjes</v>
          </cell>
        </row>
        <row r="39">
          <cell r="AG39" t="str">
            <v>Pompoensoep (sept. okt. nov.)</v>
          </cell>
        </row>
        <row r="40">
          <cell r="AG40" t="str">
            <v>Kervelroomsoep met gerookte eend</v>
          </cell>
        </row>
        <row r="41">
          <cell r="AG41" t="str">
            <v>Preiroomsoep met broccoligarnituur en gebakken spekjes</v>
          </cell>
        </row>
        <row r="42">
          <cell r="AG42" t="str">
            <v>Soepje van boschampignons met gerookte paling</v>
          </cell>
        </row>
        <row r="43">
          <cell r="AG43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M192"/>
  <sheetViews>
    <sheetView showGridLines="0" showRowColHeaders="0" showZeros="0" tabSelected="1" zoomScaleNormal="100" workbookViewId="0">
      <pane ySplit="10" topLeftCell="A11" activePane="bottomLeft" state="frozen"/>
      <selection pane="bottomLeft" activeCell="B13" sqref="B13"/>
    </sheetView>
  </sheetViews>
  <sheetFormatPr defaultRowHeight="15" x14ac:dyDescent="0.25"/>
  <cols>
    <col min="1" max="1" width="3" customWidth="1"/>
    <col min="2" max="2" width="97.28515625" customWidth="1"/>
    <col min="3" max="3" width="4.28515625" customWidth="1"/>
    <col min="4" max="4" width="12.5703125" style="16" bestFit="1" customWidth="1"/>
    <col min="5" max="5" width="3.28515625" customWidth="1"/>
    <col min="6" max="6" width="22.5703125" customWidth="1"/>
    <col min="7" max="7" width="8.5703125" customWidth="1"/>
    <col min="8" max="8" width="21.7109375" bestFit="1" customWidth="1"/>
    <col min="9" max="9" width="8.28515625" customWidth="1"/>
    <col min="10" max="10" width="23.42578125" bestFit="1" customWidth="1"/>
    <col min="11" max="11" width="11" customWidth="1"/>
    <col min="27" max="27" width="10.7109375" style="15" bestFit="1" customWidth="1"/>
    <col min="28" max="39" width="9.140625" style="15"/>
  </cols>
  <sheetData>
    <row r="1" spans="2:38" ht="15.75" x14ac:dyDescent="0.25">
      <c r="B1" s="3" t="s">
        <v>73</v>
      </c>
    </row>
    <row r="2" spans="2:38" ht="8.25" customHeight="1" x14ac:dyDescent="0.25"/>
    <row r="3" spans="2:38" ht="15.75" x14ac:dyDescent="0.25">
      <c r="B3" s="3" t="str">
        <f>"Rekenmodule koud buffet. De prijzen van de recepties in deze module gelden voor alle personen waarvan de receptie gevolgd wordt door een maaltijd. Geldig  tot " &amp; DAY(matrixen!B1) &amp; " - " &amp; MONTH(matrixen!B1) &amp; " - " &amp; YEAR(matrixen!B1)</f>
        <v>Rekenmodule koud buffet. De prijzen van de recepties in deze module gelden voor alle personen waarvan de receptie gevolgd wordt door een maaltijd. Geldig  tot 31 - 12 - 2019</v>
      </c>
    </row>
    <row r="4" spans="2:38" ht="5.25" customHeight="1" thickBot="1" x14ac:dyDescent="0.3"/>
    <row r="5" spans="2:38" x14ac:dyDescent="0.25">
      <c r="F5" s="4" t="s">
        <v>74</v>
      </c>
      <c r="G5" s="5"/>
      <c r="H5" s="4" t="s">
        <v>74</v>
      </c>
      <c r="I5" s="5"/>
      <c r="J5" s="4" t="s">
        <v>74</v>
      </c>
    </row>
    <row r="6" spans="2:38" ht="15.75" thickBot="1" x14ac:dyDescent="0.3">
      <c r="D6" s="54" t="str">
        <f ca="1">IF(TODAY()&gt;AA11,"Deze module is niet meer geldig.","")</f>
        <v/>
      </c>
      <c r="F6" s="6" t="s">
        <v>75</v>
      </c>
      <c r="G6" s="5"/>
      <c r="H6" s="6" t="s">
        <v>76</v>
      </c>
      <c r="I6" s="5"/>
      <c r="J6" s="6" t="s">
        <v>77</v>
      </c>
    </row>
    <row r="7" spans="2:38" ht="18.75" customHeight="1" thickBot="1" x14ac:dyDescent="0.4">
      <c r="B7" s="7" t="s">
        <v>78</v>
      </c>
      <c r="C7" s="8"/>
      <c r="D7" s="17">
        <f ca="1">IF(TODAY()&gt;AA11,1/0,SUM(D10:D1001))</f>
        <v>33.799999999999997</v>
      </c>
      <c r="E7" s="9"/>
      <c r="F7" s="10" t="s">
        <v>79</v>
      </c>
      <c r="G7" s="11"/>
      <c r="H7" s="12">
        <f ca="1">ROUND(D7/3,2)</f>
        <v>11.27</v>
      </c>
      <c r="I7" s="11"/>
      <c r="J7" s="12">
        <f ca="1">ROUND(D7/2,2)</f>
        <v>16.899999999999999</v>
      </c>
    </row>
    <row r="8" spans="2:38" ht="18.75" customHeight="1" x14ac:dyDescent="0.25">
      <c r="B8" s="51"/>
      <c r="C8" s="52"/>
      <c r="D8" s="53"/>
      <c r="E8" s="9"/>
      <c r="F8" s="19" t="s">
        <v>142</v>
      </c>
      <c r="G8" s="11"/>
      <c r="H8" s="18"/>
      <c r="I8" s="11"/>
      <c r="J8" s="18"/>
    </row>
    <row r="9" spans="2:38" ht="6.75" customHeight="1" x14ac:dyDescent="0.25"/>
    <row r="10" spans="2:38" ht="21" customHeight="1" x14ac:dyDescent="0.4">
      <c r="B10" s="13" t="s">
        <v>141</v>
      </c>
      <c r="I10" s="26" t="s">
        <v>209</v>
      </c>
      <c r="J10" s="27"/>
      <c r="K10" s="27"/>
    </row>
    <row r="11" spans="2:38" x14ac:dyDescent="0.25">
      <c r="B11" t="s">
        <v>122</v>
      </c>
      <c r="D11" s="16" t="s">
        <v>80</v>
      </c>
      <c r="F11" s="110" t="s">
        <v>81</v>
      </c>
      <c r="G11" s="111" t="s">
        <v>429</v>
      </c>
      <c r="H11" s="112"/>
      <c r="I11" s="52">
        <f>COUNTA(G13:K23)</f>
        <v>0</v>
      </c>
      <c r="J11" s="52" t="s">
        <v>430</v>
      </c>
      <c r="AA11" s="115">
        <f>matrixen!B1</f>
        <v>43830</v>
      </c>
    </row>
    <row r="12" spans="2:38" ht="8.25" customHeight="1" x14ac:dyDescent="0.25"/>
    <row r="13" spans="2:38" x14ac:dyDescent="0.25">
      <c r="B13" s="114" t="s">
        <v>82</v>
      </c>
      <c r="D13" s="16">
        <f>VLOOKUP(B13,matrixen!B11:I19,8,FALSE)</f>
        <v>0</v>
      </c>
      <c r="F13">
        <f>HLOOKUP($B$13,matrixen!$T$14:$AB$28,2,FALSE)</f>
        <v>0</v>
      </c>
      <c r="G13" s="142"/>
      <c r="H13" s="142"/>
      <c r="I13" s="142"/>
      <c r="J13" s="142"/>
      <c r="K13" s="142"/>
      <c r="AL13" s="15" t="str">
        <f>matrixen!AM16</f>
        <v>KOUD: crunchy sushi</v>
      </c>
    </row>
    <row r="14" spans="2:38" x14ac:dyDescent="0.25">
      <c r="B14" s="15" t="s">
        <v>82</v>
      </c>
      <c r="F14">
        <f>HLOOKUP($B$13,matrixen!$T$14:$AB$28,3,FALSE)</f>
        <v>0</v>
      </c>
      <c r="G14" s="142"/>
      <c r="H14" s="142"/>
      <c r="I14" s="142"/>
      <c r="J14" s="142"/>
      <c r="K14" s="142"/>
      <c r="AA14" s="15" t="str">
        <f>matrixen!B11</f>
        <v>Maak in dit vak uw keuze voor het aperitief</v>
      </c>
      <c r="AL14" s="15" t="str">
        <f>matrixen!AM17</f>
        <v>luzerne met gerookte zalm, eitjes van vliegende vis in wasabi</v>
      </c>
    </row>
    <row r="15" spans="2:38" x14ac:dyDescent="0.25">
      <c r="B15" s="22" t="str">
        <f>"U selecteerde tot nu " &amp; COUNTA(G13:K23)+IF(G24&lt;&gt;"",1,0)&amp; " hapjes."</f>
        <v>U selecteerde tot nu 0 hapjes.</v>
      </c>
      <c r="D15" s="16">
        <f>IF(IF(B13=matrixen!N14,(I11-4)*matrixen!I46,I11*matrixen!I46)&lt;0,0,IF(B13=matrixen!N14,(I11-4)*matrixen!I46,I11*matrixen!I46))</f>
        <v>0</v>
      </c>
      <c r="F15">
        <f>HLOOKUP($B$13,matrixen!$T$14:$AB$28,4,FALSE)</f>
        <v>0</v>
      </c>
      <c r="G15" s="142"/>
      <c r="H15" s="142"/>
      <c r="I15" s="142"/>
      <c r="J15" s="142"/>
      <c r="K15" s="142"/>
      <c r="AA15" s="15" t="str">
        <f>matrixen!B12</f>
        <v>1 aperitief per persoon</v>
      </c>
      <c r="AL15" s="15" t="str">
        <f>matrixen!AM18</f>
        <v>preischeuten met tijgergarnalen en mini tomaat</v>
      </c>
    </row>
    <row r="16" spans="2:38" x14ac:dyDescent="0.25">
      <c r="F16">
        <f>HLOOKUP($B$13,matrixen!$T$14:$AB$28,5,FALSE)</f>
        <v>0</v>
      </c>
      <c r="G16" s="142"/>
      <c r="H16" s="142"/>
      <c r="I16" s="142"/>
      <c r="J16" s="142"/>
      <c r="K16" s="142"/>
      <c r="AA16" s="15" t="str">
        <f>matrixen!B13</f>
        <v>2 aperitieven per persoon</v>
      </c>
      <c r="AL16" s="15" t="str">
        <f>matrixen!AM19</f>
        <v>aperoglaasje parmaham met meloenbolletjes</v>
      </c>
    </row>
    <row r="17" spans="2:38" x14ac:dyDescent="0.25">
      <c r="F17">
        <f>HLOOKUP($B$13,matrixen!$T$14:$AB$28,6,FALSE)</f>
        <v>0</v>
      </c>
      <c r="G17" s="142"/>
      <c r="H17" s="142"/>
      <c r="I17" s="142"/>
      <c r="J17" s="142"/>
      <c r="K17" s="142"/>
      <c r="AA17" s="15" t="str">
        <f>matrixen!B14</f>
        <v>Receptie E</v>
      </c>
      <c r="AL17" s="15" t="str">
        <f>matrixen!AM20</f>
        <v>ganache van foie gras met frambozenconfituur en amandelbrood</v>
      </c>
    </row>
    <row r="18" spans="2:38" x14ac:dyDescent="0.25">
      <c r="F18">
        <f>HLOOKUP($B$13,matrixen!$T$14:$AB$28,7,FALSE)</f>
        <v>0</v>
      </c>
      <c r="G18" s="142"/>
      <c r="H18" s="142"/>
      <c r="I18" s="142"/>
      <c r="J18" s="142"/>
      <c r="K18" s="142"/>
      <c r="AA18" s="15" t="str">
        <f>matrixen!B15</f>
        <v>Receptie A</v>
      </c>
      <c r="AL18" s="15" t="str">
        <f>matrixen!AM21</f>
        <v>aperoglaasje parmaham met espuma van mango</v>
      </c>
    </row>
    <row r="19" spans="2:38" x14ac:dyDescent="0.25">
      <c r="B19" t="s">
        <v>299</v>
      </c>
      <c r="F19">
        <f>HLOOKUP($B$13,matrixen!$T$14:$AB$28,8,FALSE)</f>
        <v>0</v>
      </c>
      <c r="G19" s="142"/>
      <c r="H19" s="142"/>
      <c r="I19" s="142"/>
      <c r="J19" s="142"/>
      <c r="K19" s="142"/>
      <c r="AA19" s="15">
        <f>matrixen!B16</f>
        <v>0</v>
      </c>
      <c r="AL19" s="15" t="str">
        <f>matrixen!AM22</f>
        <v>verse oester</v>
      </c>
    </row>
    <row r="20" spans="2:38" x14ac:dyDescent="0.25">
      <c r="B20" s="21" t="s">
        <v>300</v>
      </c>
      <c r="F20">
        <f>HLOOKUP($B$13,matrixen!$T$14:$AB$28,9,FALSE)</f>
        <v>0</v>
      </c>
      <c r="G20" s="142"/>
      <c r="H20" s="142"/>
      <c r="I20" s="142"/>
      <c r="J20" s="142"/>
      <c r="K20" s="142"/>
      <c r="AA20" s="15">
        <f>matrixen!B17</f>
        <v>0</v>
      </c>
      <c r="AL20" s="15" t="str">
        <f>matrixen!AM23</f>
        <v>Taboulé met gerookte forel</v>
      </c>
    </row>
    <row r="21" spans="2:38" x14ac:dyDescent="0.25">
      <c r="B21" s="15" t="s">
        <v>300</v>
      </c>
      <c r="F21">
        <f>HLOOKUP($B$13,matrixen!$T$14:$AB$28,10,FALSE)</f>
        <v>0</v>
      </c>
      <c r="G21" s="142"/>
      <c r="H21" s="142"/>
      <c r="I21" s="142"/>
      <c r="J21" s="142"/>
      <c r="K21" s="142"/>
      <c r="AA21" s="15">
        <f>matrixen!B18</f>
        <v>0</v>
      </c>
      <c r="AL21" s="15" t="str">
        <f>matrixen!AM24</f>
        <v>Haringhapje met curry</v>
      </c>
    </row>
    <row r="22" spans="2:38" x14ac:dyDescent="0.25">
      <c r="B22" s="15" t="s">
        <v>435</v>
      </c>
      <c r="F22">
        <f>HLOOKUP($B$13,matrixen!$T$14:$AB$28,11,FALSE)</f>
        <v>0</v>
      </c>
      <c r="G22" s="142"/>
      <c r="H22" s="142"/>
      <c r="I22" s="142"/>
      <c r="J22" s="142"/>
      <c r="K22" s="142"/>
      <c r="AA22" s="15">
        <f>matrixen!B19</f>
        <v>0</v>
      </c>
      <c r="AL22" s="15" t="str">
        <f>matrixen!AM25</f>
        <v>Mini bagel met zalm en kruidenkaas</v>
      </c>
    </row>
    <row r="23" spans="2:38" x14ac:dyDescent="0.25">
      <c r="F23">
        <f>HLOOKUP($B$13,matrixen!$T$14:$AB$28,12,FALSE)</f>
        <v>0</v>
      </c>
      <c r="G23" s="142"/>
      <c r="H23" s="142"/>
      <c r="I23" s="142"/>
      <c r="J23" s="142"/>
      <c r="K23" s="142"/>
      <c r="AA23" s="15">
        <f>matrixen!B20</f>
        <v>0</v>
      </c>
      <c r="AL23" s="15" t="str">
        <f>matrixen!AM26</f>
        <v>BORD: op tafel met rauwe groenten en cocktailsaus (wortel, bloemkool, radijs)</v>
      </c>
    </row>
    <row r="24" spans="2:38" x14ac:dyDescent="0.25">
      <c r="F24">
        <f>HLOOKUP($B$13,matrixen!$T$14:$AB$28,13,FALSE)</f>
        <v>0</v>
      </c>
      <c r="G24" s="113" t="str">
        <f>IF(F20="tapenades", matrixen!AM28 &amp; " nootjes en chips","")</f>
        <v/>
      </c>
      <c r="H24" s="113"/>
      <c r="I24" s="113"/>
      <c r="J24" s="113"/>
      <c r="K24" s="113"/>
      <c r="AA24" s="15" t="e">
        <f>matrixen!#REF!</f>
        <v>#REF!</v>
      </c>
      <c r="AL24" s="15" t="str">
        <f>matrixen!AM27</f>
        <v>Bord met olijven, kaasjes en salamietjes</v>
      </c>
    </row>
    <row r="25" spans="2:38" x14ac:dyDescent="0.25">
      <c r="F25">
        <f>HLOOKUP($B$13,matrixen!$T$14:$AB$28,14,FALSE)</f>
        <v>0</v>
      </c>
      <c r="AA25" s="15">
        <f>matrixen!B22</f>
        <v>0</v>
      </c>
      <c r="AL25" s="15" t="str">
        <f>matrixen!AM28</f>
        <v>Bord met 3 tapenades (tonijn / pesto spread rosso /zoete peper roomkaas)</v>
      </c>
    </row>
    <row r="26" spans="2:38" x14ac:dyDescent="0.25">
      <c r="F26">
        <f>HLOOKUP($B$13,matrixen!$T$14:$AB$28,15,FALSE)</f>
        <v>0</v>
      </c>
      <c r="AA26" s="15" t="str">
        <f>matrixen!B23</f>
        <v>Schuimwijn van het huis (reeds inbegrepen)</v>
      </c>
      <c r="AL26" s="15" t="str">
        <f>matrixen!AM29</f>
        <v>WARM: mini hot-dog</v>
      </c>
    </row>
    <row r="27" spans="2:38" ht="5.25" customHeight="1" x14ac:dyDescent="0.25">
      <c r="AA27" s="15" t="str">
        <f>matrixen!B24</f>
        <v>Cava</v>
      </c>
      <c r="AL27" s="15" t="str">
        <f>matrixen!AM30</f>
        <v>Breydelspek met mosterdroomsaus</v>
      </c>
    </row>
    <row r="28" spans="2:38" ht="15.75" x14ac:dyDescent="0.25">
      <c r="B28" s="3" t="s">
        <v>121</v>
      </c>
      <c r="W28" s="1"/>
      <c r="X28" s="1"/>
      <c r="Y28" s="1"/>
      <c r="Z28" s="1"/>
      <c r="AA28" s="15" t="str">
        <f>matrixen!B25</f>
        <v>Champagne</v>
      </c>
      <c r="AL28" s="15" t="str">
        <f>matrixen!AM31</f>
        <v>aperoglaasje scampi</v>
      </c>
    </row>
    <row r="29" spans="2:38" x14ac:dyDescent="0.25">
      <c r="B29" t="s">
        <v>123</v>
      </c>
      <c r="W29" s="1"/>
      <c r="X29" s="1"/>
      <c r="Y29" s="1"/>
      <c r="Z29" s="1"/>
      <c r="AA29" s="15">
        <f>matrixen!B26</f>
        <v>0</v>
      </c>
      <c r="AL29" s="15" t="str">
        <f>matrixen!AM32</f>
        <v>Warme dagvis met curry</v>
      </c>
    </row>
    <row r="30" spans="2:38" x14ac:dyDescent="0.25">
      <c r="B30" t="s">
        <v>117</v>
      </c>
      <c r="W30" s="1"/>
      <c r="X30" s="1"/>
      <c r="Y30" s="1"/>
      <c r="Z30" s="1"/>
      <c r="AL30" s="15" t="str">
        <f>matrixen!AM33</f>
        <v>een gevuld toastcupje</v>
      </c>
    </row>
    <row r="31" spans="2:38" x14ac:dyDescent="0.25">
      <c r="B31" t="s">
        <v>118</v>
      </c>
      <c r="W31" s="1"/>
      <c r="X31" s="1"/>
      <c r="Y31" s="1"/>
      <c r="Z31" s="1"/>
      <c r="AA31" s="15" t="str">
        <f>matrixen!B44</f>
        <v>Maak hier uw keuze voor extra hapjes bij het aperitief</v>
      </c>
      <c r="AL31" s="15" t="str">
        <f>matrixen!AM34</f>
        <v xml:space="preserve">oester met champagnesaus </v>
      </c>
    </row>
    <row r="32" spans="2:38" x14ac:dyDescent="0.25">
      <c r="B32" t="s">
        <v>120</v>
      </c>
      <c r="W32" s="1"/>
      <c r="X32" s="1"/>
      <c r="Y32" s="1"/>
      <c r="Z32" s="1"/>
      <c r="AA32" s="15" t="str">
        <f>matrixen!B45</f>
        <v>Nootjes, chips en zoutkoekjes zoveel u wenst,  per pers.</v>
      </c>
      <c r="AL32" s="15" t="str">
        <f>matrixen!AM35</f>
        <v>garnaal in filo</v>
      </c>
    </row>
    <row r="33" spans="1:38" x14ac:dyDescent="0.25">
      <c r="B33" t="s">
        <v>119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5" t="str">
        <f>matrixen!B46</f>
        <v>Rauwe groenten (wortel, bloemkool, cocktailsaus) prijs per persoon:</v>
      </c>
      <c r="AL33" s="15" t="str">
        <f>matrixen!AM36</f>
        <v>mini croque</v>
      </c>
    </row>
    <row r="34" spans="1:38" x14ac:dyDescent="0.25">
      <c r="AA34" s="15" t="str">
        <f>matrixen!B47</f>
        <v>Warme toostjes per stuk</v>
      </c>
      <c r="AL34" s="15" t="str">
        <f>matrixen!AM37</f>
        <v>mini loempia</v>
      </c>
    </row>
    <row r="35" spans="1:38" x14ac:dyDescent="0.25">
      <c r="B35" s="2" t="s">
        <v>124</v>
      </c>
      <c r="AA35" s="15" t="str">
        <f>matrixen!B48</f>
        <v>Koude toostjes per stuk</v>
      </c>
      <c r="AL35" s="15" t="str">
        <f>matrixen!AM38</f>
        <v>mini kippenboutje</v>
      </c>
    </row>
    <row r="36" spans="1:38" x14ac:dyDescent="0.25">
      <c r="B36" s="21" t="s">
        <v>125</v>
      </c>
      <c r="D36" s="16" t="str">
        <f>VLOOKUP(B36,matrixen!B85:G88,6,FALSE)</f>
        <v>inbegrepen</v>
      </c>
      <c r="AA36" s="15" t="str">
        <f>matrixen!B49</f>
        <v>aperitiefglaasjes per stuk</v>
      </c>
      <c r="AL36" s="15" t="str">
        <f>matrixen!AM39</f>
        <v>Gepaneerde garnalen butterfly</v>
      </c>
    </row>
    <row r="37" spans="1:38" x14ac:dyDescent="0.25">
      <c r="B37" s="15" t="s">
        <v>125</v>
      </c>
      <c r="AA37" s="15" t="str">
        <f>matrixen!B50</f>
        <v>Oesters per stuk warm of koud</v>
      </c>
      <c r="AL37" s="15" t="str">
        <f>matrixen!AM40</f>
        <v>SOEP van kreeft</v>
      </c>
    </row>
    <row r="38" spans="1:38" x14ac:dyDescent="0.25">
      <c r="B38" s="2" t="s">
        <v>134</v>
      </c>
      <c r="D38" s="16">
        <f>matrixen!B118</f>
        <v>31</v>
      </c>
      <c r="F38" s="2" t="str">
        <f>"Selecteert u één of meer van onderstaande specialiteiten, is er een supplement van "&amp; matrixen!E118 &amp;" euro pp t.o.v. de basisprijs"</f>
        <v>Selecteert u één of meer van onderstaande specialiteiten, is er een supplement van 5 euro pp t.o.v. de basisprijs</v>
      </c>
      <c r="AA38" s="15" t="str">
        <f>matrixen!B51</f>
        <v>wachtbordje met vispasteitje</v>
      </c>
      <c r="AL38" s="15" t="str">
        <f>matrixen!AM41</f>
        <v>Aspergeroomsoep met koornbloemblaadjes</v>
      </c>
    </row>
    <row r="39" spans="1:38" x14ac:dyDescent="0.25">
      <c r="A39">
        <v>1</v>
      </c>
      <c r="B39" s="21" t="s">
        <v>133</v>
      </c>
      <c r="E39">
        <v>1</v>
      </c>
      <c r="F39" s="21" t="s">
        <v>135</v>
      </c>
      <c r="G39" s="15">
        <f>IF(F39&lt;&gt; "supplement 1",1,0)</f>
        <v>0</v>
      </c>
      <c r="H39" s="15">
        <f>IF(G39+G40+G41+G42+G43+G44+G45+G46+G47&gt;0,matrixen!E118,0)</f>
        <v>0</v>
      </c>
      <c r="J39" s="2" t="s">
        <v>145</v>
      </c>
      <c r="AA39" s="15" t="str">
        <f>matrixen!B52</f>
        <v>wachtbordje van reuzentoost met gerookte zalm</v>
      </c>
      <c r="AL39" s="15" t="str">
        <f>matrixen!AM42</f>
        <v>Pompoensoep (sept. okt. nov.)</v>
      </c>
    </row>
    <row r="40" spans="1:38" x14ac:dyDescent="0.25">
      <c r="A40">
        <v>2</v>
      </c>
      <c r="B40" s="21" t="s">
        <v>133</v>
      </c>
      <c r="E40">
        <v>2</v>
      </c>
      <c r="F40" s="21" t="s">
        <v>135</v>
      </c>
      <c r="G40" s="15">
        <f t="shared" ref="G40:G47" si="0">IF(F40&lt;&gt; "supplement 1",1,0)</f>
        <v>0</v>
      </c>
      <c r="H40" s="15">
        <f>IF(D50&gt;0,matrixen!E118,0)</f>
        <v>0</v>
      </c>
      <c r="J40" s="2" t="s">
        <v>146</v>
      </c>
      <c r="AA40" s="15" t="str">
        <f>matrixen!B53</f>
        <v>wachtbordje van lauw slaatje met gerookte zalm en scampi's</v>
      </c>
      <c r="AL40" s="15" t="str">
        <f>matrixen!AM43</f>
        <v>Kervelroomsoep met gerookte eend</v>
      </c>
    </row>
    <row r="41" spans="1:38" x14ac:dyDescent="0.25">
      <c r="A41">
        <v>3</v>
      </c>
      <c r="B41" s="21" t="s">
        <v>133</v>
      </c>
      <c r="E41">
        <v>3</v>
      </c>
      <c r="F41" s="21" t="s">
        <v>135</v>
      </c>
      <c r="G41" s="15">
        <f t="shared" si="0"/>
        <v>0</v>
      </c>
      <c r="H41" s="15">
        <f>H39-H40</f>
        <v>0</v>
      </c>
      <c r="J41" s="2"/>
      <c r="AA41" s="15">
        <f>matrixen!B54</f>
        <v>0</v>
      </c>
      <c r="AL41" s="15" t="str">
        <f>matrixen!AM44</f>
        <v>Preiroomsoep met broccoligarnituur en gebakken spekjes</v>
      </c>
    </row>
    <row r="42" spans="1:38" x14ac:dyDescent="0.25">
      <c r="A42">
        <v>4</v>
      </c>
      <c r="B42" s="21" t="s">
        <v>133</v>
      </c>
      <c r="D42" s="16">
        <f>IF(H41&gt;0,H41,0)</f>
        <v>0</v>
      </c>
      <c r="E42">
        <v>4</v>
      </c>
      <c r="F42" s="21" t="s">
        <v>135</v>
      </c>
      <c r="G42" s="15">
        <f t="shared" si="0"/>
        <v>0</v>
      </c>
      <c r="H42" s="15"/>
      <c r="AA42" s="15">
        <f>matrixen!B55</f>
        <v>0</v>
      </c>
      <c r="AL42" s="15" t="str">
        <f>matrixen!AM45</f>
        <v>Soepje van boschampignons met gerookte paling</v>
      </c>
    </row>
    <row r="43" spans="1:38" x14ac:dyDescent="0.25">
      <c r="A43">
        <v>5</v>
      </c>
      <c r="B43" s="21" t="s">
        <v>133</v>
      </c>
      <c r="E43">
        <v>5</v>
      </c>
      <c r="F43" s="21" t="s">
        <v>135</v>
      </c>
      <c r="G43" s="15">
        <f t="shared" si="0"/>
        <v>0</v>
      </c>
      <c r="H43" s="15"/>
      <c r="AA43" s="15">
        <f>matrixen!B56</f>
        <v>0</v>
      </c>
      <c r="AL43" s="15">
        <f>matrixen!AM46</f>
        <v>0</v>
      </c>
    </row>
    <row r="44" spans="1:38" x14ac:dyDescent="0.25">
      <c r="A44">
        <v>6</v>
      </c>
      <c r="B44" s="21" t="s">
        <v>133</v>
      </c>
      <c r="E44">
        <v>6</v>
      </c>
      <c r="F44" s="21" t="s">
        <v>135</v>
      </c>
      <c r="G44" s="15">
        <f t="shared" si="0"/>
        <v>0</v>
      </c>
      <c r="H44" s="15"/>
      <c r="AA44" s="15" t="str">
        <f>matrixen!B85</f>
        <v>Koude aardappelen</v>
      </c>
      <c r="AL44" s="15">
        <f>matrixen!AM47</f>
        <v>0</v>
      </c>
    </row>
    <row r="45" spans="1:38" x14ac:dyDescent="0.25">
      <c r="A45">
        <v>7</v>
      </c>
      <c r="B45" s="21" t="s">
        <v>133</v>
      </c>
      <c r="E45">
        <v>7</v>
      </c>
      <c r="F45" s="21" t="s">
        <v>135</v>
      </c>
      <c r="G45" s="15">
        <f t="shared" si="0"/>
        <v>0</v>
      </c>
      <c r="H45" s="15"/>
      <c r="AA45" s="15" t="str">
        <f>matrixen!B86</f>
        <v>Aardappel in de pel</v>
      </c>
    </row>
    <row r="46" spans="1:38" x14ac:dyDescent="0.25">
      <c r="A46">
        <v>8</v>
      </c>
      <c r="B46" s="21" t="s">
        <v>133</v>
      </c>
      <c r="E46">
        <v>8</v>
      </c>
      <c r="F46" s="21" t="s">
        <v>135</v>
      </c>
      <c r="G46" s="15">
        <f t="shared" si="0"/>
        <v>0</v>
      </c>
      <c r="H46" s="15"/>
      <c r="AA46" s="15" t="str">
        <f>matrixen!B87</f>
        <v>1/2 koude aardappelen en 1/2 aardappel in de pel</v>
      </c>
    </row>
    <row r="47" spans="1:38" x14ac:dyDescent="0.25">
      <c r="A47">
        <v>9</v>
      </c>
      <c r="B47" s="21" t="s">
        <v>133</v>
      </c>
      <c r="E47">
        <v>9</v>
      </c>
      <c r="F47" s="21" t="s">
        <v>135</v>
      </c>
      <c r="G47" s="15">
        <f t="shared" si="0"/>
        <v>0</v>
      </c>
      <c r="H47" s="15"/>
      <c r="AA47" s="15" t="str">
        <f>matrixen!B88</f>
        <v>frietjes (supplement)</v>
      </c>
    </row>
    <row r="48" spans="1:38" x14ac:dyDescent="0.25">
      <c r="A48">
        <v>10</v>
      </c>
      <c r="B48" s="21" t="s">
        <v>133</v>
      </c>
      <c r="F48" s="2" t="str">
        <f>"Selecteert u één of meer van onderstaande specialiteiten, is er een supplement van " &amp; matrixen!H118 &amp; " euro pp t.o.v. de basisprijs"</f>
        <v>Selecteert u één of meer van onderstaande specialiteiten, is er een supplement van 8,5 euro pp t.o.v. de basisprijs</v>
      </c>
    </row>
    <row r="49" spans="1:27" x14ac:dyDescent="0.25">
      <c r="A49">
        <v>11</v>
      </c>
      <c r="B49" s="21" t="s">
        <v>133</v>
      </c>
      <c r="F49" s="2" t="s">
        <v>147</v>
      </c>
      <c r="AA49" s="15" t="str">
        <f>matrixen!B97</f>
        <v>Kies uit deze vlees- of visspecialiteiten</v>
      </c>
    </row>
    <row r="50" spans="1:27" x14ac:dyDescent="0.25">
      <c r="A50" s="14">
        <v>12</v>
      </c>
      <c r="B50" s="21" t="s">
        <v>133</v>
      </c>
      <c r="D50" s="16">
        <f>IF(H50&gt;0,matrixen!H118,0)</f>
        <v>0</v>
      </c>
      <c r="E50">
        <v>1</v>
      </c>
      <c r="F50" s="21" t="s">
        <v>136</v>
      </c>
      <c r="G50" s="15">
        <f>IF(F50&lt;&gt; "supplement 2",1,0)</f>
        <v>0</v>
      </c>
      <c r="H50" s="15">
        <f>IF(G50+G51+G52&gt;0,11,0)</f>
        <v>0</v>
      </c>
      <c r="AA50" s="15" t="str">
        <f>matrixen!B98</f>
        <v>tonijnsla</v>
      </c>
    </row>
    <row r="51" spans="1:27" x14ac:dyDescent="0.25">
      <c r="B51" s="15" t="s">
        <v>133</v>
      </c>
      <c r="E51">
        <v>2</v>
      </c>
      <c r="F51" s="21" t="s">
        <v>136</v>
      </c>
      <c r="G51" s="15">
        <f>IF(F51&lt;&gt; "supplement 2",1,0)</f>
        <v>0</v>
      </c>
      <c r="H51" s="15"/>
      <c r="AA51" s="15" t="str">
        <f>matrixen!B99</f>
        <v>vispastei</v>
      </c>
    </row>
    <row r="52" spans="1:27" x14ac:dyDescent="0.25">
      <c r="E52">
        <v>3</v>
      </c>
      <c r="F52" s="21" t="s">
        <v>136</v>
      </c>
      <c r="G52" s="15">
        <f>IF(F52&lt;&gt; "supplement 2",1,0)</f>
        <v>0</v>
      </c>
      <c r="H52" s="15"/>
      <c r="AA52" s="15" t="str">
        <f>matrixen!B100</f>
        <v>koolvis</v>
      </c>
    </row>
    <row r="53" spans="1:27" x14ac:dyDescent="0.25">
      <c r="F53" s="15" t="s">
        <v>135</v>
      </c>
      <c r="AA53" s="15" t="str">
        <f>matrixen!B101</f>
        <v>halve tomaat belegd met krabsla</v>
      </c>
    </row>
    <row r="54" spans="1:27" x14ac:dyDescent="0.25">
      <c r="B54" s="2" t="s">
        <v>143</v>
      </c>
      <c r="F54" s="15" t="s">
        <v>136</v>
      </c>
      <c r="AA54" s="15" t="str">
        <f>matrixen!B102</f>
        <v>pandalusgarnalen</v>
      </c>
    </row>
    <row r="55" spans="1:27" x14ac:dyDescent="0.25">
      <c r="B55" s="21" t="s">
        <v>301</v>
      </c>
      <c r="D55" s="16">
        <f>VLOOKUP(B55,matrixen!B124:M126,12,FALSE)</f>
        <v>2.8</v>
      </c>
      <c r="AA55" s="15" t="str">
        <f>matrixen!B103</f>
        <v>haring met dille</v>
      </c>
    </row>
    <row r="56" spans="1:27" x14ac:dyDescent="0.25">
      <c r="B56" s="15" t="s">
        <v>301</v>
      </c>
      <c r="AA56" s="15" t="str">
        <f>matrixen!B104</f>
        <v>américain préparé</v>
      </c>
    </row>
    <row r="57" spans="1:27" x14ac:dyDescent="0.25">
      <c r="F57" s="20" t="s">
        <v>148</v>
      </c>
      <c r="AA57" s="15" t="str">
        <f>matrixen!B105</f>
        <v>varkensgebraad</v>
      </c>
    </row>
    <row r="58" spans="1:27" x14ac:dyDescent="0.25">
      <c r="B58" s="2" t="s">
        <v>144</v>
      </c>
      <c r="AA58" s="15" t="str">
        <f>matrixen!B106</f>
        <v>salami</v>
      </c>
    </row>
    <row r="59" spans="1:27" x14ac:dyDescent="0.25">
      <c r="B59" s="21" t="s">
        <v>155</v>
      </c>
      <c r="D59" s="16">
        <f>VLOOKUP(B59,matrixen!B127:I150,8,FALSE)</f>
        <v>0</v>
      </c>
      <c r="F59" s="1">
        <f>VLOOKUP($B$59,dessert,10,FALSE)</f>
        <v>0</v>
      </c>
      <c r="AA59" s="15" t="str">
        <f>matrixen!B107</f>
        <v>gekookte achterham</v>
      </c>
    </row>
    <row r="60" spans="1:27" x14ac:dyDescent="0.25">
      <c r="B60" s="15" t="s">
        <v>155</v>
      </c>
      <c r="F60" s="1">
        <f>VLOOKUP($B$59,dessert,11,FALSE)</f>
        <v>0</v>
      </c>
      <c r="AA60" s="15" t="str">
        <f>matrixen!B108</f>
        <v>hennepot</v>
      </c>
    </row>
    <row r="61" spans="1:27" x14ac:dyDescent="0.25">
      <c r="B61" t="str">
        <f>IF(B105=matrixen!B195,"Kies hier nu een aantal dessertjes. 4 zijn reeds inbegrepen. Extra aan € " &amp;matrixen!I191&amp;",00/stuk. U selecteerde er tot nu: "&amp;COUNTA(B62:B68),"")</f>
        <v>Kies hier nu een aantal dessertjes. 4 zijn reeds inbegrepen. Extra aan € ,00/stuk. U selecteerde er tot nu: 0</v>
      </c>
      <c r="F61" s="1">
        <f>VLOOKUP($B$59,dessert,12,FALSE)</f>
        <v>0</v>
      </c>
      <c r="AA61" s="15" t="str">
        <f>matrixen!B109</f>
        <v>vleespastei</v>
      </c>
    </row>
    <row r="62" spans="1:27" x14ac:dyDescent="0.25">
      <c r="B62" s="21"/>
      <c r="F62" s="1">
        <f>VLOOKUP($B$59,dessert,13,FALSE)</f>
        <v>0</v>
      </c>
      <c r="AA62" s="15" t="str">
        <f>matrixen!B110</f>
        <v>hoofdvlees</v>
      </c>
    </row>
    <row r="63" spans="1:27" x14ac:dyDescent="0.25">
      <c r="B63" s="21"/>
      <c r="F63" s="1"/>
    </row>
    <row r="64" spans="1:27" x14ac:dyDescent="0.25">
      <c r="B64" s="21"/>
      <c r="F64" s="1"/>
    </row>
    <row r="65" spans="2:27" x14ac:dyDescent="0.25">
      <c r="B65" s="21"/>
      <c r="D65" s="16">
        <f>IF(COUNTA(B62:B68)*matrixen!I128 - IF(B59=matrixen!B132,matrixen!I128*4,0)&lt;0,0,COUNTA(B62:B68)*matrixen!I128 - IF(B59=matrixen!B132,matrixen!I128*4,0))</f>
        <v>0</v>
      </c>
      <c r="F65" s="1" t="str">
        <f>IF(D65&gt;0,"U selecteerde meer dan 4 stuks dessert. Vandaar het supplement.","")</f>
        <v/>
      </c>
    </row>
    <row r="66" spans="2:27" x14ac:dyDescent="0.25">
      <c r="B66" s="21"/>
      <c r="F66" s="1"/>
    </row>
    <row r="67" spans="2:27" x14ac:dyDescent="0.25">
      <c r="B67" s="21"/>
      <c r="F67" s="1"/>
    </row>
    <row r="68" spans="2:27" x14ac:dyDescent="0.25">
      <c r="B68" s="21"/>
      <c r="F68" s="1"/>
    </row>
    <row r="69" spans="2:27" x14ac:dyDescent="0.25">
      <c r="B69" s="15" t="s">
        <v>155</v>
      </c>
      <c r="F69" s="1"/>
    </row>
    <row r="70" spans="2:27" x14ac:dyDescent="0.25">
      <c r="F70" s="1"/>
    </row>
    <row r="71" spans="2:27" x14ac:dyDescent="0.25">
      <c r="F71" s="1">
        <f>VLOOKUP($B$59,dessert,14,FALSE)</f>
        <v>0</v>
      </c>
      <c r="AA71" s="15" t="str">
        <f>matrixen!B111</f>
        <v>stukjes kippebout</v>
      </c>
    </row>
    <row r="72" spans="2:27" x14ac:dyDescent="0.25">
      <c r="F72" s="1">
        <f>VLOOKUP($B$59,dessert,15,FALSE)</f>
        <v>0</v>
      </c>
      <c r="AA72" s="15" t="str">
        <f>matrixen!B112</f>
        <v>hespeworst</v>
      </c>
    </row>
    <row r="73" spans="2:27" x14ac:dyDescent="0.25">
      <c r="B73" s="2" t="s">
        <v>159</v>
      </c>
      <c r="AA73" s="15" t="str">
        <f>matrixen!B113</f>
        <v>gepocheerde zalm</v>
      </c>
    </row>
    <row r="74" spans="2:27" x14ac:dyDescent="0.25">
      <c r="B74" s="21" t="s">
        <v>158</v>
      </c>
      <c r="D74" s="16">
        <f>VLOOKUP(B74,matrixen!B154:I157,8,FALSE)</f>
        <v>0</v>
      </c>
      <c r="J74" s="116" t="str">
        <f>"Wenst u exclusiviteit voor het volledige domein mits meerprijs van € " &amp;matrixen!F222&amp; " ? "</f>
        <v xml:space="preserve">Wenst u exclusiviteit voor het volledige domein mits meerprijs van € 750 ? </v>
      </c>
      <c r="K74" s="21" t="s">
        <v>217</v>
      </c>
      <c r="L74" s="15">
        <f>IF(K74="ja",matrixen!F222,0)</f>
        <v>0</v>
      </c>
      <c r="AA74" s="15" t="str">
        <f>matrixen!B114</f>
        <v>gerookte bacon</v>
      </c>
    </row>
    <row r="75" spans="2:27" x14ac:dyDescent="0.25">
      <c r="B75" s="15" t="s">
        <v>158</v>
      </c>
      <c r="AA75" s="15" t="str">
        <f>matrixen!B115</f>
        <v>gepocheerde forel</v>
      </c>
    </row>
    <row r="76" spans="2:27" x14ac:dyDescent="0.25">
      <c r="B76" s="21" t="s">
        <v>215</v>
      </c>
      <c r="D76" s="16">
        <f>VLOOKUP(B76,matrixen!A159:P161,15,FALSE)</f>
        <v>0</v>
      </c>
      <c r="E76" s="42" t="str">
        <f>VLOOKUP(B76,matrixen!A159:P161,16,FALSE)</f>
        <v>één rekening</v>
      </c>
      <c r="F76" s="22" t="s">
        <v>216</v>
      </c>
      <c r="G76" s="21" t="s">
        <v>217</v>
      </c>
      <c r="H76" s="22" t="s">
        <v>218</v>
      </c>
      <c r="I76" s="21" t="s">
        <v>217</v>
      </c>
      <c r="J76" s="22" t="s">
        <v>219</v>
      </c>
      <c r="K76" s="21" t="s">
        <v>217</v>
      </c>
      <c r="AA76" s="15" t="str">
        <f>matrixen!B116</f>
        <v>makreel met peper</v>
      </c>
    </row>
    <row r="77" spans="2:27" x14ac:dyDescent="0.25">
      <c r="B77" s="15" t="s">
        <v>215</v>
      </c>
      <c r="F77" s="22"/>
      <c r="H77" s="22"/>
      <c r="K77" s="22"/>
    </row>
    <row r="78" spans="2:27" x14ac:dyDescent="0.25">
      <c r="B78" s="14" t="s">
        <v>316</v>
      </c>
      <c r="F78" s="22" t="s">
        <v>220</v>
      </c>
      <c r="G78" s="21" t="s">
        <v>217</v>
      </c>
      <c r="H78" s="22" t="s">
        <v>364</v>
      </c>
      <c r="I78" s="21" t="s">
        <v>217</v>
      </c>
      <c r="J78" t="str">
        <f>IF($I$78="ja",matrixen!A165,"")</f>
        <v/>
      </c>
      <c r="AA78" s="15" t="str">
        <f>matrixen!E97</f>
        <v>supplement 1</v>
      </c>
    </row>
    <row r="79" spans="2:27" x14ac:dyDescent="0.25">
      <c r="B79" s="143" t="s">
        <v>365</v>
      </c>
      <c r="H79" s="22"/>
      <c r="J79" t="str">
        <f>IF($I$78="ja",matrixen!A166,"")</f>
        <v/>
      </c>
      <c r="AA79" s="15" t="str">
        <f>matrixen!E98</f>
        <v>tomaat met grijze garnalen</v>
      </c>
    </row>
    <row r="80" spans="2:27" x14ac:dyDescent="0.25">
      <c r="B80" s="143"/>
      <c r="D80"/>
      <c r="H80" s="22" t="str">
        <f>IF(G78="ja",matrixen!A169,"")</f>
        <v/>
      </c>
      <c r="J80" t="str">
        <f>IF($I$78="ja",matrixen!A167,"")</f>
        <v/>
      </c>
      <c r="AA80" s="15" t="str">
        <f>matrixen!E99</f>
        <v>gerookte zalm</v>
      </c>
    </row>
    <row r="81" spans="2:27" ht="18.75" x14ac:dyDescent="0.3">
      <c r="B81" s="50" t="s">
        <v>208</v>
      </c>
      <c r="D81"/>
      <c r="AA81" s="15" t="str">
        <f>matrixen!E100</f>
        <v>parmaham</v>
      </c>
    </row>
    <row r="82" spans="2:27" ht="19.5" thickBot="1" x14ac:dyDescent="0.35">
      <c r="B82" s="50" t="s">
        <v>160</v>
      </c>
      <c r="D82"/>
      <c r="AA82" s="15" t="str">
        <f>matrixen!E101</f>
        <v>langoustines 1 pp</v>
      </c>
    </row>
    <row r="83" spans="2:27" ht="26.25" x14ac:dyDescent="0.4">
      <c r="D83" s="22"/>
      <c r="E83" s="22" t="s">
        <v>161</v>
      </c>
      <c r="F83" s="23"/>
      <c r="H83" s="28" t="s">
        <v>211</v>
      </c>
      <c r="I83" s="29"/>
      <c r="J83" s="29"/>
      <c r="K83" s="29"/>
      <c r="L83" s="30"/>
      <c r="AA83" s="15" t="str">
        <f>matrixen!E102</f>
        <v>gebakken scampi's 2 pp</v>
      </c>
    </row>
    <row r="84" spans="2:27" x14ac:dyDescent="0.25">
      <c r="D84" s="22"/>
      <c r="E84" s="22"/>
      <c r="F84" s="22" t="s">
        <v>210</v>
      </c>
      <c r="H84" s="31" t="str">
        <f>IF(L84&gt;0,B13,"")</f>
        <v/>
      </c>
      <c r="I84" s="32"/>
      <c r="J84" s="32"/>
      <c r="K84" s="32"/>
      <c r="L84" s="33">
        <f>D13</f>
        <v>0</v>
      </c>
      <c r="AA84" s="15" t="str">
        <f>matrixen!E103</f>
        <v>roastbeef</v>
      </c>
    </row>
    <row r="85" spans="2:27" x14ac:dyDescent="0.25">
      <c r="D85" s="22"/>
      <c r="E85" s="22" t="s">
        <v>162</v>
      </c>
      <c r="F85" s="21"/>
      <c r="H85" s="31" t="str">
        <f>IF(L85&gt;0,B100,"")</f>
        <v/>
      </c>
      <c r="I85" s="32" t="str">
        <f>IF(L85&gt;0,"geldt alleen bij recepties!!!","")</f>
        <v/>
      </c>
      <c r="J85" s="32"/>
      <c r="K85" s="32"/>
      <c r="L85" s="33">
        <f>D100</f>
        <v>0</v>
      </c>
      <c r="AA85" s="15" t="str">
        <f>matrixen!E104</f>
        <v>kabeljauw</v>
      </c>
    </row>
    <row r="86" spans="2:27" x14ac:dyDescent="0.25">
      <c r="D86" s="22"/>
      <c r="E86" s="24" t="s">
        <v>314</v>
      </c>
      <c r="F86" s="21"/>
      <c r="H86" s="31" t="str">
        <f>IF(L86&gt;0,B106,"")</f>
        <v/>
      </c>
      <c r="I86" s="32"/>
      <c r="J86" s="32"/>
      <c r="K86" s="32"/>
      <c r="L86" s="34">
        <f>D106</f>
        <v>0</v>
      </c>
      <c r="AA86" s="15" t="str">
        <f>matrixen!E105</f>
        <v>gerookte heilbot</v>
      </c>
    </row>
    <row r="87" spans="2:27" x14ac:dyDescent="0.25">
      <c r="D87" s="22"/>
      <c r="E87" s="24" t="s">
        <v>164</v>
      </c>
      <c r="F87" s="21"/>
      <c r="H87" s="31" t="str">
        <f>IF(L87&gt;0,B61,"")</f>
        <v/>
      </c>
      <c r="I87" s="32"/>
      <c r="J87" s="32"/>
      <c r="K87" s="32"/>
      <c r="L87" s="34">
        <f>D107</f>
        <v>0</v>
      </c>
      <c r="AA87" s="15" t="str">
        <f>matrixen!E106</f>
        <v>gerookte forelfilet</v>
      </c>
    </row>
    <row r="88" spans="2:27" x14ac:dyDescent="0.25">
      <c r="E88" s="24" t="s">
        <v>163</v>
      </c>
      <c r="F88" s="21"/>
      <c r="H88" s="31" t="str">
        <f>IF(L88&gt;0,B62,"")</f>
        <v/>
      </c>
      <c r="I88" s="32"/>
      <c r="J88" s="32"/>
      <c r="K88" s="32"/>
      <c r="L88" s="34">
        <f>D108</f>
        <v>0</v>
      </c>
    </row>
    <row r="89" spans="2:27" x14ac:dyDescent="0.25">
      <c r="B89" s="25"/>
      <c r="D89" s="22"/>
      <c r="H89" s="31" t="str">
        <f>IF(L89&gt;0,B63,"")</f>
        <v/>
      </c>
      <c r="I89" s="32"/>
      <c r="J89" s="32"/>
      <c r="K89" s="32"/>
      <c r="L89" s="34">
        <f>D109</f>
        <v>0</v>
      </c>
      <c r="AA89" s="15" t="str">
        <f>matrixen!H97</f>
        <v>supplement 2</v>
      </c>
    </row>
    <row r="90" spans="2:27" x14ac:dyDescent="0.25">
      <c r="D90" s="22"/>
      <c r="E90" s="24" t="s">
        <v>251</v>
      </c>
      <c r="F90" s="21"/>
      <c r="G90" s="9"/>
      <c r="H90" s="35" t="str">
        <f>IF(L90&gt;0,B64,"")</f>
        <v/>
      </c>
      <c r="I90" s="36"/>
      <c r="J90" s="36"/>
      <c r="K90" s="36"/>
      <c r="L90" s="41">
        <f>D110</f>
        <v>0</v>
      </c>
      <c r="AA90" s="15" t="str">
        <f>matrixen!H98</f>
        <v>foie gras</v>
      </c>
    </row>
    <row r="91" spans="2:27" x14ac:dyDescent="0.25">
      <c r="E91" s="24" t="s">
        <v>252</v>
      </c>
      <c r="F91" s="21"/>
      <c r="G91" s="9"/>
      <c r="H91" s="31" t="str">
        <f>B36</f>
        <v>Koude aardappelen</v>
      </c>
      <c r="I91" s="32"/>
      <c r="J91" s="32"/>
      <c r="K91" s="32"/>
      <c r="L91" s="34" t="str">
        <f>D36</f>
        <v>inbegrepen</v>
      </c>
      <c r="AA91" s="15" t="str">
        <f>matrixen!H99</f>
        <v>oesters 2pp</v>
      </c>
    </row>
    <row r="92" spans="2:27" x14ac:dyDescent="0.25">
      <c r="E92" s="24" t="s">
        <v>253</v>
      </c>
      <c r="F92" s="21"/>
      <c r="H92" s="35" t="s">
        <v>213</v>
      </c>
      <c r="I92" s="36"/>
      <c r="J92" s="36"/>
      <c r="K92" s="36"/>
      <c r="L92" s="41" t="s">
        <v>129</v>
      </c>
      <c r="AA92" s="15" t="str">
        <f>matrixen!H100</f>
        <v>kreeft</v>
      </c>
    </row>
    <row r="93" spans="2:27" x14ac:dyDescent="0.25">
      <c r="E93" s="24" t="s">
        <v>254</v>
      </c>
      <c r="F93" s="21"/>
      <c r="H93" s="35" t="s">
        <v>214</v>
      </c>
      <c r="I93" s="36"/>
      <c r="J93" s="36"/>
      <c r="K93" s="36"/>
      <c r="L93" s="37">
        <f>D38</f>
        <v>31</v>
      </c>
    </row>
    <row r="94" spans="2:27" x14ac:dyDescent="0.25">
      <c r="E94" s="24" t="s">
        <v>255</v>
      </c>
      <c r="F94" s="21"/>
      <c r="H94" s="31" t="str">
        <f>IF(L94&gt;0,"U selecteerde ook uit supplement 1","")</f>
        <v/>
      </c>
      <c r="I94" s="32"/>
      <c r="J94" s="32"/>
      <c r="K94" s="32"/>
      <c r="L94" s="33">
        <f>D42</f>
        <v>0</v>
      </c>
      <c r="AA94" s="15" t="str">
        <f>matrixen!B124</f>
        <v>Huiswijn, bieren en frisdranken als forfait</v>
      </c>
    </row>
    <row r="95" spans="2:27" x14ac:dyDescent="0.25">
      <c r="E95" s="24" t="s">
        <v>256</v>
      </c>
      <c r="F95" s="21"/>
      <c r="H95" s="35" t="str">
        <f>IF(L95&gt;0,"U selecteerde ook uit supplement 2","")</f>
        <v/>
      </c>
      <c r="I95" s="36"/>
      <c r="J95" s="36"/>
      <c r="K95" s="36"/>
      <c r="L95" s="37">
        <f>D50</f>
        <v>0</v>
      </c>
      <c r="AA95" s="15" t="str">
        <f>matrixen!B125</f>
        <v>Domaine Joel Delauny Touraine  en/of Château Reynier, Bordeaux superieur,  bieren en frisdranken</v>
      </c>
    </row>
    <row r="96" spans="2:27" x14ac:dyDescent="0.25">
      <c r="E96" s="24" t="s">
        <v>368</v>
      </c>
      <c r="F96" s="21"/>
      <c r="H96" s="35" t="str">
        <f>B55</f>
        <v>Huiswijn, bieren en frisdranken als forfait</v>
      </c>
      <c r="I96" s="36"/>
      <c r="J96" s="36"/>
      <c r="K96" s="36"/>
      <c r="L96" s="37">
        <f>D55</f>
        <v>2.8</v>
      </c>
      <c r="AA96" s="15">
        <f>matrixen!B126</f>
        <v>0</v>
      </c>
    </row>
    <row r="97" spans="2:27" x14ac:dyDescent="0.25">
      <c r="E97" s="22" t="s">
        <v>284</v>
      </c>
      <c r="H97" s="31" t="str">
        <f>IF(L97&gt;0,B59,"")</f>
        <v/>
      </c>
      <c r="I97" s="32"/>
      <c r="J97" s="32"/>
      <c r="K97" s="32"/>
      <c r="L97" s="33">
        <f>D59</f>
        <v>0</v>
      </c>
    </row>
    <row r="98" spans="2:27" ht="18.75" x14ac:dyDescent="0.3">
      <c r="B98" s="14" t="s">
        <v>138</v>
      </c>
      <c r="D98" s="22"/>
      <c r="E98" s="22" t="s">
        <v>285</v>
      </c>
      <c r="F98" s="49"/>
      <c r="H98" s="35" t="str">
        <f>IF(L98&gt;0,B74,"")</f>
        <v/>
      </c>
      <c r="I98" s="36"/>
      <c r="J98" s="43"/>
      <c r="K98" s="36"/>
      <c r="L98" s="37">
        <f>D74</f>
        <v>0</v>
      </c>
      <c r="AA98" s="15">
        <f>matrixen!B127</f>
        <v>0</v>
      </c>
    </row>
    <row r="99" spans="2:27" ht="15.75" thickBot="1" x14ac:dyDescent="0.3">
      <c r="H99" s="38" t="s">
        <v>212</v>
      </c>
      <c r="I99" s="39"/>
      <c r="J99" s="39"/>
      <c r="K99" s="39"/>
      <c r="L99" s="40" t="str">
        <f>E76</f>
        <v>één rekening</v>
      </c>
      <c r="AA99" s="15" t="str">
        <f>matrixen!B128</f>
        <v>supplement per stukje gebak:</v>
      </c>
    </row>
    <row r="100" spans="2:27" ht="15.75" thickBot="1" x14ac:dyDescent="0.3">
      <c r="B100" s="21" t="s">
        <v>348</v>
      </c>
      <c r="D100" s="16">
        <f>VLOOKUP(B100,matrixen!B23:I26,8,FALSE)</f>
        <v>0</v>
      </c>
      <c r="AA100" s="15">
        <f>matrixen!B129</f>
        <v>0</v>
      </c>
    </row>
    <row r="101" spans="2:27" ht="15.75" thickBot="1" x14ac:dyDescent="0.3">
      <c r="E101" s="47" t="s">
        <v>277</v>
      </c>
      <c r="F101" s="48">
        <f ca="1">Reservatievoorstel!I12</f>
        <v>0</v>
      </c>
      <c r="H101" s="14" t="s">
        <v>250</v>
      </c>
      <c r="K101" s="21" t="s">
        <v>237</v>
      </c>
      <c r="AA101" s="15" t="str">
        <f>matrixen!B130</f>
        <v>Nog geen dessert geselecteerd</v>
      </c>
    </row>
    <row r="102" spans="2:27" ht="15.75" thickBot="1" x14ac:dyDescent="0.3">
      <c r="F102" s="22" t="s">
        <v>278</v>
      </c>
      <c r="J102" s="14" t="s">
        <v>268</v>
      </c>
      <c r="K102" s="142" t="s">
        <v>286</v>
      </c>
      <c r="L102" s="142"/>
      <c r="M102" s="142"/>
      <c r="N102" s="142"/>
      <c r="O102" s="142"/>
      <c r="AA102" s="15" t="str">
        <f>matrixen!B131</f>
        <v>IJstaart ambachtelijk, speciale vorm, smaak naar keuze</v>
      </c>
    </row>
    <row r="103" spans="2:27" ht="15.75" thickBot="1" x14ac:dyDescent="0.3">
      <c r="F103" s="47" t="s">
        <v>279</v>
      </c>
      <c r="G103" s="48">
        <f ca="1">F101*0.02</f>
        <v>0</v>
      </c>
      <c r="J103" s="24" t="s">
        <v>289</v>
      </c>
      <c r="K103" s="142"/>
      <c r="L103" s="142"/>
      <c r="M103" s="142"/>
      <c r="N103" s="142"/>
      <c r="O103" s="142"/>
      <c r="AA103" s="15" t="str">
        <f>matrixen!B132</f>
        <v>Stel hieronder uw mini dessertbordje samen met minstens 4 dessertjes</v>
      </c>
    </row>
    <row r="104" spans="2:27" ht="15.75" thickBot="1" x14ac:dyDescent="0.3">
      <c r="F104" s="47" t="s">
        <v>280</v>
      </c>
      <c r="G104" s="48">
        <f ca="1">F101-G103</f>
        <v>0</v>
      </c>
      <c r="J104" s="24" t="s">
        <v>290</v>
      </c>
      <c r="K104" s="142"/>
      <c r="L104" s="142"/>
      <c r="M104" s="142"/>
      <c r="N104" s="142"/>
      <c r="O104" s="142"/>
      <c r="AA104" s="15" t="str">
        <f>matrixen!B133</f>
        <v>Coupe met vers fruit en verse slagroom.</v>
      </c>
    </row>
    <row r="105" spans="2:27" x14ac:dyDescent="0.25">
      <c r="E105" s="15">
        <f>SUMIF(B106:B110,"warme toostjes per stuk",D106:D110)</f>
        <v>0</v>
      </c>
      <c r="F105" s="1" t="str">
        <f>IF($E$105&gt;0,matrixen!B58,"")</f>
        <v/>
      </c>
      <c r="G105" s="15">
        <f>SUMIF(B106:B110,"koude toostjes per stuk",D106:D110)</f>
        <v>0</v>
      </c>
      <c r="H105" s="1" t="str">
        <f>IF($G$105&gt;0,matrixen!E58,"")</f>
        <v/>
      </c>
      <c r="I105" s="15">
        <f>SUMIF(B106:B110,"aperitiefglaasjes per stuk",D106:D110)</f>
        <v>0</v>
      </c>
      <c r="J105" s="57" t="s">
        <v>329</v>
      </c>
      <c r="K105" s="21" t="s">
        <v>217</v>
      </c>
      <c r="AA105" s="15" t="str">
        <f>matrixen!B134</f>
        <v>Aardbeiensoepje met sinaasappel in seizoen</v>
      </c>
    </row>
    <row r="106" spans="2:27" x14ac:dyDescent="0.25">
      <c r="F106" s="1" t="str">
        <f>IF($E$105&gt;0,matrixen!B59,"")</f>
        <v/>
      </c>
      <c r="G106" s="1"/>
      <c r="H106" s="1" t="str">
        <f>IF($G$105&gt;0,matrixen!E59,"")</f>
        <v/>
      </c>
      <c r="J106" s="1" t="str">
        <f>IF($I$105&gt;0,matrixen!H59,"")</f>
        <v/>
      </c>
      <c r="K106" s="56" t="str">
        <f>IF(K105="ja","Gelieve uw facturatiegegevens bij opmerkingen in te vullen.","")</f>
        <v/>
      </c>
      <c r="AA106" s="15" t="str">
        <f>matrixen!B135</f>
        <v>Coupe met aardbeien en verse slagroom.</v>
      </c>
    </row>
    <row r="107" spans="2:27" x14ac:dyDescent="0.25">
      <c r="F107" s="1" t="str">
        <f>IF($E$105&gt;0,matrixen!B60,"")</f>
        <v/>
      </c>
      <c r="G107" s="1"/>
      <c r="H107" s="1" t="str">
        <f>IF($G$105&gt;0,matrixen!E60,"")</f>
        <v/>
      </c>
      <c r="J107" s="1" t="str">
        <f>IF($I$105&gt;0,matrixen!H60,"")</f>
        <v/>
      </c>
      <c r="K107" s="1"/>
      <c r="AA107" s="15" t="str">
        <f>matrixen!B136</f>
        <v>Dame blanche</v>
      </c>
    </row>
    <row r="108" spans="2:27" x14ac:dyDescent="0.25">
      <c r="F108" s="1" t="str">
        <f>IF($E$105&gt;0,matrixen!B61,"")</f>
        <v/>
      </c>
      <c r="G108" s="1"/>
      <c r="H108" s="1" t="str">
        <f>IF($G$105&gt;0,matrixen!E61,"")</f>
        <v/>
      </c>
      <c r="J108" s="1" t="str">
        <f>IF($I$105&gt;0,matrixen!H61,"")</f>
        <v/>
      </c>
      <c r="K108" s="1"/>
      <c r="AA108" s="15" t="str">
        <f>matrixen!B137</f>
        <v>- frambozentaart</v>
      </c>
    </row>
    <row r="109" spans="2:27" x14ac:dyDescent="0.25">
      <c r="F109" s="1" t="str">
        <f>IF($E$105&gt;0,matrixen!B62,"")</f>
        <v/>
      </c>
      <c r="G109" s="1"/>
      <c r="H109" s="1" t="str">
        <f>IF($G$105&gt;0,matrixen!E62,"")</f>
        <v/>
      </c>
      <c r="J109" s="1" t="str">
        <f>IF($I$105&gt;0,matrixen!H62,"")</f>
        <v/>
      </c>
      <c r="K109" s="1"/>
      <c r="AA109" s="15" t="str">
        <f>matrixen!B138</f>
        <v>- progres</v>
      </c>
    </row>
    <row r="110" spans="2:27" x14ac:dyDescent="0.25">
      <c r="F110" s="1" t="str">
        <f>IF($E$105&gt;0,matrixen!B63,"")</f>
        <v/>
      </c>
      <c r="G110" s="1"/>
      <c r="H110" s="1" t="str">
        <f>IF($G$105&gt;0,matrixen!E63,"")</f>
        <v/>
      </c>
      <c r="I110" s="1"/>
      <c r="J110" s="1" t="str">
        <f>IF($I$105&gt;0,matrixen!H63,"")</f>
        <v/>
      </c>
      <c r="K110" s="1"/>
      <c r="AA110" s="15" t="str">
        <f>matrixen!B139</f>
        <v>- fruitgebakje</v>
      </c>
    </row>
    <row r="111" spans="2:27" x14ac:dyDescent="0.25">
      <c r="F111" s="1" t="str">
        <f>IF($E$105&gt;0,matrixen!B64,"")</f>
        <v/>
      </c>
      <c r="H111" s="1" t="str">
        <f>IF($G$105&gt;0,matrixen!E64,"")</f>
        <v/>
      </c>
      <c r="AA111" s="15" t="str">
        <f>matrixen!B140</f>
        <v>- biscuit crème fraiche met coulis</v>
      </c>
    </row>
    <row r="112" spans="2:27" x14ac:dyDescent="0.25">
      <c r="AA112" s="15" t="str">
        <f>matrixen!B141</f>
        <v>- warme appeltaart met een bolletje ijs</v>
      </c>
    </row>
    <row r="113" spans="27:27" x14ac:dyDescent="0.25">
      <c r="AA113" s="15" t="str">
        <f>matrixen!B142</f>
        <v>- zwarte woudtaart</v>
      </c>
    </row>
    <row r="114" spans="27:27" x14ac:dyDescent="0.25">
      <c r="AA114" s="15" t="str">
        <f>matrixen!B143</f>
        <v>Sabayon met rood fruit</v>
      </c>
    </row>
    <row r="115" spans="27:27" x14ac:dyDescent="0.25">
      <c r="AA115" s="15">
        <f>matrixen!B144</f>
        <v>0</v>
      </c>
    </row>
    <row r="116" spans="27:27" x14ac:dyDescent="0.25">
      <c r="AA116" s="15" t="str">
        <f>matrixen!B145</f>
        <v>Basis dessertbuffet met:</v>
      </c>
    </row>
    <row r="117" spans="27:27" x14ac:dyDescent="0.25">
      <c r="AA117" s="15" t="str">
        <f>matrixen!B146</f>
        <v>Uitgebreid dessertbuffet met:</v>
      </c>
    </row>
    <row r="118" spans="27:27" x14ac:dyDescent="0.25">
      <c r="AA118" s="15" t="str">
        <f>matrixen!B147</f>
        <v>Uitgebreid en luxueus dessertbuffet met:</v>
      </c>
    </row>
    <row r="120" spans="27:27" x14ac:dyDescent="0.25">
      <c r="AA120" s="15" t="str">
        <f>matrixen!B154</f>
        <v>Nog geen keuze gemaakt</v>
      </c>
    </row>
    <row r="121" spans="27:27" x14ac:dyDescent="0.25">
      <c r="AA121" s="15" t="str">
        <f>matrixen!B155</f>
        <v>Koffie 3 X bediend</v>
      </c>
    </row>
    <row r="122" spans="27:27" x14ac:dyDescent="0.25">
      <c r="AA122" s="15" t="str">
        <f>matrixen!B156</f>
        <v>Koffie 3 X bediend met koekjes</v>
      </c>
    </row>
    <row r="123" spans="27:27" x14ac:dyDescent="0.25">
      <c r="AA123" s="15" t="str">
        <f>matrixen!B157</f>
        <v>Koffie 3 X bediend met pralines</v>
      </c>
    </row>
    <row r="125" spans="27:27" x14ac:dyDescent="0.25">
      <c r="AA125" s="44" t="str">
        <f>matrixen!A159</f>
        <v>Alle drank na de maaltijd komt op één rekening en wordt door de organisator van het feest betaald</v>
      </c>
    </row>
    <row r="126" spans="27:27" x14ac:dyDescent="0.25">
      <c r="AA126" s="44" t="str">
        <f>matrixen!A160</f>
        <v>Elke gast die na de maaltijd een drankje bestelt rekent direct af aan de bar</v>
      </c>
    </row>
    <row r="127" spans="27:27" x14ac:dyDescent="0.25">
      <c r="AA127" s="44" t="str">
        <f>matrixen!A161</f>
        <v xml:space="preserve">Forfait voor drank naar believen (alle bieren en frisdranken van de drankkaart in de zaal) na een maaltijd. pp: </v>
      </c>
    </row>
    <row r="129" spans="27:27" x14ac:dyDescent="0.25">
      <c r="AA129" s="15" t="str">
        <f>matrixen!A187</f>
        <v>ja</v>
      </c>
    </row>
    <row r="130" spans="27:27" x14ac:dyDescent="0.25">
      <c r="AA130" s="15" t="str">
        <f>matrixen!A188</f>
        <v>nee</v>
      </c>
    </row>
    <row r="132" spans="27:27" x14ac:dyDescent="0.25">
      <c r="AA132" s="15" t="s">
        <v>286</v>
      </c>
    </row>
    <row r="133" spans="27:27" x14ac:dyDescent="0.25">
      <c r="AA133" s="15" t="s">
        <v>287</v>
      </c>
    </row>
    <row r="134" spans="27:27" x14ac:dyDescent="0.25">
      <c r="AA134" s="15" t="s">
        <v>288</v>
      </c>
    </row>
    <row r="137" spans="27:27" x14ac:dyDescent="0.25">
      <c r="AA137" s="15" t="str">
        <f>matrixen!A380</f>
        <v>Betaling op de dag zelf (cash of bancontact), u bekomt 2% korting op het totaal</v>
      </c>
    </row>
    <row r="138" spans="27:27" x14ac:dyDescent="0.25">
      <c r="AA138" s="15" t="str">
        <f>matrixen!A381</f>
        <v>Storting op BE 48 4631 1391 2127 min. 7 dagen voor het feest, 2% korting</v>
      </c>
    </row>
    <row r="139" spans="27:27" x14ac:dyDescent="0.25">
      <c r="AA139" s="15" t="str">
        <f>matrixen!A382</f>
        <v>Betaling na het feest. Gelieve 40 % voorschot te storten op BE48 4631 1391 2127. Geen korting.</v>
      </c>
    </row>
    <row r="170" spans="4:4" x14ac:dyDescent="0.25">
      <c r="D170" s="22"/>
    </row>
    <row r="171" spans="4:4" x14ac:dyDescent="0.25">
      <c r="D171" s="22"/>
    </row>
    <row r="172" spans="4:4" x14ac:dyDescent="0.25">
      <c r="D172" s="22"/>
    </row>
    <row r="173" spans="4:4" x14ac:dyDescent="0.25">
      <c r="D173" s="22"/>
    </row>
    <row r="174" spans="4:4" x14ac:dyDescent="0.25">
      <c r="D174" s="22"/>
    </row>
    <row r="175" spans="4:4" x14ac:dyDescent="0.25">
      <c r="D175" s="22"/>
    </row>
    <row r="176" spans="4:4" x14ac:dyDescent="0.25">
      <c r="D176" s="22"/>
    </row>
    <row r="177" spans="4:4" x14ac:dyDescent="0.25">
      <c r="D177" s="22"/>
    </row>
    <row r="178" spans="4:4" x14ac:dyDescent="0.25">
      <c r="D178" s="22"/>
    </row>
    <row r="179" spans="4:4" x14ac:dyDescent="0.25">
      <c r="D179" s="22"/>
    </row>
    <row r="180" spans="4:4" x14ac:dyDescent="0.25">
      <c r="D180" s="22"/>
    </row>
    <row r="181" spans="4:4" x14ac:dyDescent="0.25">
      <c r="D181" s="22"/>
    </row>
    <row r="182" spans="4:4" x14ac:dyDescent="0.25">
      <c r="D182" s="22"/>
    </row>
    <row r="183" spans="4:4" x14ac:dyDescent="0.25">
      <c r="D183" s="22"/>
    </row>
    <row r="184" spans="4:4" x14ac:dyDescent="0.25">
      <c r="D184" s="22"/>
    </row>
    <row r="185" spans="4:4" x14ac:dyDescent="0.25">
      <c r="D185" s="22"/>
    </row>
    <row r="186" spans="4:4" x14ac:dyDescent="0.25">
      <c r="D186" s="22"/>
    </row>
    <row r="187" spans="4:4" x14ac:dyDescent="0.25">
      <c r="D187" s="22"/>
    </row>
    <row r="188" spans="4:4" x14ac:dyDescent="0.25">
      <c r="D188" s="22"/>
    </row>
    <row r="189" spans="4:4" x14ac:dyDescent="0.25">
      <c r="D189" s="22"/>
    </row>
    <row r="190" spans="4:4" x14ac:dyDescent="0.25">
      <c r="D190" s="22"/>
    </row>
    <row r="191" spans="4:4" x14ac:dyDescent="0.25">
      <c r="D191" s="22"/>
    </row>
    <row r="192" spans="4:4" x14ac:dyDescent="0.25">
      <c r="D192" s="22"/>
    </row>
  </sheetData>
  <sheetProtection algorithmName="SHA-512" hashValue="1Br2SfZLkzP++dIcuUWtJdx1ZmTUNqm/ZkO5I+EiOagIGfsOH86cylxsq58rFYocTAz3QOnGFWjMFauvDwspqA==" saltValue="XvITi4bVgy01SCDwwbH+MA==" spinCount="100000" sheet="1" objects="1" scenarios="1" selectLockedCells="1"/>
  <mergeCells count="15">
    <mergeCell ref="K102:O102"/>
    <mergeCell ref="K103:O103"/>
    <mergeCell ref="K104:O104"/>
    <mergeCell ref="B79:B80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</mergeCells>
  <conditionalFormatting sqref="F105:F106 H105:H106 J106">
    <cfRule type="notContainsBlanks" dxfId="5" priority="4">
      <formula>LEN(TRIM(F105))&gt;0</formula>
    </cfRule>
  </conditionalFormatting>
  <conditionalFormatting sqref="G91">
    <cfRule type="cellIs" dxfId="4" priority="2" operator="greaterThan">
      <formula>604.73</formula>
    </cfRule>
    <cfRule type="cellIs" dxfId="3" priority="3" operator="greaterThan">
      <formula>0</formula>
    </cfRule>
  </conditionalFormatting>
  <dataValidations count="20">
    <dataValidation type="whole" errorStyle="warning" allowBlank="1" showInputMessage="1" showErrorMessage="1" errorTitle="Bent u zeker?" error="U geeft bij voorkeur een getal in  tussen 10 en 250. Let op de verkoopsvoorwaarden punt 7!" sqref="F85" xr:uid="{00000000-0002-0000-0000-000000000000}">
      <formula1>10</formula1>
      <formula2>250</formula2>
    </dataValidation>
    <dataValidation type="date" operator="greaterThan" allowBlank="1" showInputMessage="1" showErrorMessage="1" prompt="Om uw keuze te bewaren, kies “opslaan als” en sla het bestand op op uw harde schijf. " sqref="F83" xr:uid="{00000000-0002-0000-0000-000001000000}">
      <formula1>K38</formula1>
    </dataValidation>
    <dataValidation type="list" allowBlank="1" showInputMessage="1" showErrorMessage="1" promptTitle="OPGELET!" prompt="Hier alleen iets wijzigen indien u zonet koos voor receptie A,B,C,D,E of F" sqref="B100" xr:uid="{00000000-0002-0000-0000-000002000000}">
      <formula1>$AA$26:$AA$28</formula1>
    </dataValidation>
    <dataValidation type="list" allowBlank="1" showInputMessage="1" showErrorMessage="1" sqref="B36" xr:uid="{00000000-0002-0000-0000-000003000000}">
      <formula1>$AA$44:$AA$47</formula1>
    </dataValidation>
    <dataValidation type="list" allowBlank="1" showInputMessage="1" showErrorMessage="1" sqref="B39:B50" xr:uid="{00000000-0002-0000-0000-000004000000}">
      <formula1>$AA$49:$AA$76</formula1>
    </dataValidation>
    <dataValidation type="list" allowBlank="1" showInputMessage="1" showErrorMessage="1" sqref="F39:F47" xr:uid="{00000000-0002-0000-0000-000005000000}">
      <formula1>$AA$78:$AA$87</formula1>
    </dataValidation>
    <dataValidation type="list" allowBlank="1" showInputMessage="1" showErrorMessage="1" sqref="F50:F52" xr:uid="{00000000-0002-0000-0000-000006000000}">
      <formula1>$AA$89:$AA$92</formula1>
    </dataValidation>
    <dataValidation type="list" allowBlank="1" showInputMessage="1" showErrorMessage="1" sqref="B55" xr:uid="{00000000-0002-0000-0000-000007000000}">
      <formula1>$AA$94:$AA$95</formula1>
    </dataValidation>
    <dataValidation type="list" allowBlank="1" showInputMessage="1" showErrorMessage="1" sqref="B74" xr:uid="{00000000-0002-0000-0000-000008000000}">
      <formula1>$AA$120:$AA$123</formula1>
    </dataValidation>
    <dataValidation type="list" allowBlank="1" showInputMessage="1" showErrorMessage="1" sqref="B76" xr:uid="{00000000-0002-0000-0000-000009000000}">
      <formula1>$AA$125:$AA$127</formula1>
    </dataValidation>
    <dataValidation type="list" allowBlank="1" showInputMessage="1" showErrorMessage="1" sqref="K76 K105 K101 I76 G76 G78 I78 K74" xr:uid="{00000000-0002-0000-0000-00000A000000}">
      <formula1>$AA$129:$AA$130</formula1>
    </dataValidation>
    <dataValidation type="list" allowBlank="1" showInputMessage="1" showErrorMessage="1" sqref="I102" xr:uid="{00000000-0002-0000-0000-00000B000000}">
      <formula1>$AA$111:$AA$113</formula1>
    </dataValidation>
    <dataValidation type="list" allowBlank="1" showInputMessage="1" showErrorMessage="1" sqref="K102" xr:uid="{00000000-0002-0000-0000-00000C000000}">
      <formula1>$AA$132:$AA$134</formula1>
    </dataValidation>
    <dataValidation type="list" allowBlank="1" showInputMessage="1" showErrorMessage="1" sqref="B20" xr:uid="{00000000-0002-0000-0000-00000D000000}">
      <formula1>$B$21:$B$22</formula1>
    </dataValidation>
    <dataValidation type="whole" allowBlank="1" showInputMessage="1" showErrorMessage="1" sqref="F86:F88" xr:uid="{00000000-0002-0000-0000-00000E000000}">
      <formula1>0</formula1>
      <formula2>100</formula2>
    </dataValidation>
    <dataValidation type="list" allowBlank="1" showInputMessage="1" showErrorMessage="1" sqref="B59" xr:uid="{00000000-0002-0000-0000-00000F000000}">
      <formula1>$AA$98:$AA$118</formula1>
    </dataValidation>
    <dataValidation type="list" allowBlank="1" showInputMessage="1" showErrorMessage="1" sqref="B79:B80" xr:uid="{00000000-0002-0000-0000-000010000000}">
      <formula1>$AA$137:$AA$139</formula1>
    </dataValidation>
    <dataValidation type="list" allowBlank="1" showInputMessage="1" showErrorMessage="1" sqref="G13:K23" xr:uid="{00000000-0002-0000-0000-000011000000}">
      <formula1>$AL$13:$AL$42</formula1>
    </dataValidation>
    <dataValidation type="list" allowBlank="1" showInputMessage="1" showErrorMessage="1" sqref="B13" xr:uid="{00000000-0002-0000-0000-000012000000}">
      <formula1>$AA$13:$AA$21</formula1>
    </dataValidation>
    <dataValidation type="list" allowBlank="1" showInputMessage="1" showErrorMessage="1" errorTitle="NCBR" error="U kunt in dit vak alleen iets selecteren als u kiest voor &quot;mini dessertbordje&quot; om zelf samen te stellen. U moet eerst uw dessert wijzigen._x000a__x000a_" sqref="B62:B68" xr:uid="{00000000-0002-0000-0000-000013000000}">
      <formula1>minidessert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Zet_op_nul">
                <anchor moveWithCells="1" sizeWithCells="1">
                  <from>
                    <xdr:col>0</xdr:col>
                    <xdr:colOff>190500</xdr:colOff>
                    <xdr:row>4</xdr:row>
                    <xdr:rowOff>57150</xdr:rowOff>
                  </from>
                  <to>
                    <xdr:col>1</xdr:col>
                    <xdr:colOff>1819275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Druk_voorstel_af">
                <anchor moveWithCells="1" sizeWithCells="1">
                  <from>
                    <xdr:col>1</xdr:col>
                    <xdr:colOff>2047875</xdr:colOff>
                    <xdr:row>4</xdr:row>
                    <xdr:rowOff>95250</xdr:rowOff>
                  </from>
                  <to>
                    <xdr:col>1</xdr:col>
                    <xdr:colOff>3886200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IP!" prompt="Het uitgebreid dessertbuffet staat helemaal onderaan!" xr:uid="{00000000-0002-0000-0000-000014000000}">
          <x14:formula1>
            <xm:f>matrixen!$B$127:$B$147</xm:f>
          </x14:formula1>
          <xm:sqref>B59</xm:sqref>
        </x14:dataValidation>
        <x14:dataValidation type="list" allowBlank="1" showInputMessage="1" showErrorMessage="1" xr:uid="{00000000-0002-0000-0000-000015000000}">
          <x14:formula1>
            <xm:f>matrixen!$A$380:$A$382</xm:f>
          </x14:formula1>
          <xm:sqref>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M382"/>
  <sheetViews>
    <sheetView showGridLines="0" showRowColHeaders="0" workbookViewId="0"/>
  </sheetViews>
  <sheetFormatPr defaultRowHeight="15" x14ac:dyDescent="0.25"/>
  <cols>
    <col min="1" max="1" width="9.140625" style="118"/>
    <col min="2" max="2" width="10.7109375" style="118" bestFit="1" customWidth="1"/>
    <col min="3" max="10" width="9.140625" style="118"/>
    <col min="11" max="11" width="10.5703125" style="118" bestFit="1" customWidth="1"/>
    <col min="12" max="13" width="10.5703125" style="118" customWidth="1"/>
    <col min="14" max="14" width="13.5703125" style="118" customWidth="1"/>
    <col min="15" max="15" width="11.5703125" style="118" customWidth="1"/>
    <col min="16" max="16" width="21.7109375" style="118" customWidth="1"/>
    <col min="17" max="17" width="15.85546875" style="118" customWidth="1"/>
    <col min="18" max="18" width="16.85546875" style="118" customWidth="1"/>
    <col min="19" max="19" width="24.140625" style="118" bestFit="1" customWidth="1"/>
    <col min="20" max="22" width="9.140625" style="118"/>
    <col min="23" max="23" width="15.28515625" style="118" customWidth="1"/>
    <col min="24" max="24" width="13.28515625" style="118" customWidth="1"/>
    <col min="25" max="25" width="56.42578125" style="118" bestFit="1" customWidth="1"/>
    <col min="26" max="266" width="9.140625" style="118"/>
    <col min="267" max="267" width="10.5703125" style="118" bestFit="1" customWidth="1"/>
    <col min="268" max="269" width="10.5703125" style="118" customWidth="1"/>
    <col min="270" max="270" width="13.5703125" style="118" customWidth="1"/>
    <col min="271" max="271" width="11.5703125" style="118" customWidth="1"/>
    <col min="272" max="272" width="21.7109375" style="118" customWidth="1"/>
    <col min="273" max="273" width="15.85546875" style="118" customWidth="1"/>
    <col min="274" max="274" width="16.85546875" style="118" customWidth="1"/>
    <col min="275" max="275" width="24.140625" style="118" bestFit="1" customWidth="1"/>
    <col min="276" max="278" width="9.140625" style="118"/>
    <col min="279" max="279" width="15.28515625" style="118" customWidth="1"/>
    <col min="280" max="280" width="13.28515625" style="118" customWidth="1"/>
    <col min="281" max="281" width="56.42578125" style="118" bestFit="1" customWidth="1"/>
    <col min="282" max="522" width="9.140625" style="118"/>
    <col min="523" max="523" width="10.5703125" style="118" bestFit="1" customWidth="1"/>
    <col min="524" max="525" width="10.5703125" style="118" customWidth="1"/>
    <col min="526" max="526" width="13.5703125" style="118" customWidth="1"/>
    <col min="527" max="527" width="11.5703125" style="118" customWidth="1"/>
    <col min="528" max="528" width="21.7109375" style="118" customWidth="1"/>
    <col min="529" max="529" width="15.85546875" style="118" customWidth="1"/>
    <col min="530" max="530" width="16.85546875" style="118" customWidth="1"/>
    <col min="531" max="531" width="24.140625" style="118" bestFit="1" customWidth="1"/>
    <col min="532" max="534" width="9.140625" style="118"/>
    <col min="535" max="535" width="15.28515625" style="118" customWidth="1"/>
    <col min="536" max="536" width="13.28515625" style="118" customWidth="1"/>
    <col min="537" max="537" width="56.42578125" style="118" bestFit="1" customWidth="1"/>
    <col min="538" max="778" width="9.140625" style="118"/>
    <col min="779" max="779" width="10.5703125" style="118" bestFit="1" customWidth="1"/>
    <col min="780" max="781" width="10.5703125" style="118" customWidth="1"/>
    <col min="782" max="782" width="13.5703125" style="118" customWidth="1"/>
    <col min="783" max="783" width="11.5703125" style="118" customWidth="1"/>
    <col min="784" max="784" width="21.7109375" style="118" customWidth="1"/>
    <col min="785" max="785" width="15.85546875" style="118" customWidth="1"/>
    <col min="786" max="786" width="16.85546875" style="118" customWidth="1"/>
    <col min="787" max="787" width="24.140625" style="118" bestFit="1" customWidth="1"/>
    <col min="788" max="790" width="9.140625" style="118"/>
    <col min="791" max="791" width="15.28515625" style="118" customWidth="1"/>
    <col min="792" max="792" width="13.28515625" style="118" customWidth="1"/>
    <col min="793" max="793" width="56.42578125" style="118" bestFit="1" customWidth="1"/>
    <col min="794" max="1034" width="9.140625" style="118"/>
    <col min="1035" max="1035" width="10.5703125" style="118" bestFit="1" customWidth="1"/>
    <col min="1036" max="1037" width="10.5703125" style="118" customWidth="1"/>
    <col min="1038" max="1038" width="13.5703125" style="118" customWidth="1"/>
    <col min="1039" max="1039" width="11.5703125" style="118" customWidth="1"/>
    <col min="1040" max="1040" width="21.7109375" style="118" customWidth="1"/>
    <col min="1041" max="1041" width="15.85546875" style="118" customWidth="1"/>
    <col min="1042" max="1042" width="16.85546875" style="118" customWidth="1"/>
    <col min="1043" max="1043" width="24.140625" style="118" bestFit="1" customWidth="1"/>
    <col min="1044" max="1046" width="9.140625" style="118"/>
    <col min="1047" max="1047" width="15.28515625" style="118" customWidth="1"/>
    <col min="1048" max="1048" width="13.28515625" style="118" customWidth="1"/>
    <col min="1049" max="1049" width="56.42578125" style="118" bestFit="1" customWidth="1"/>
    <col min="1050" max="1290" width="9.140625" style="118"/>
    <col min="1291" max="1291" width="10.5703125" style="118" bestFit="1" customWidth="1"/>
    <col min="1292" max="1293" width="10.5703125" style="118" customWidth="1"/>
    <col min="1294" max="1294" width="13.5703125" style="118" customWidth="1"/>
    <col min="1295" max="1295" width="11.5703125" style="118" customWidth="1"/>
    <col min="1296" max="1296" width="21.7109375" style="118" customWidth="1"/>
    <col min="1297" max="1297" width="15.85546875" style="118" customWidth="1"/>
    <col min="1298" max="1298" width="16.85546875" style="118" customWidth="1"/>
    <col min="1299" max="1299" width="24.140625" style="118" bestFit="1" customWidth="1"/>
    <col min="1300" max="1302" width="9.140625" style="118"/>
    <col min="1303" max="1303" width="15.28515625" style="118" customWidth="1"/>
    <col min="1304" max="1304" width="13.28515625" style="118" customWidth="1"/>
    <col min="1305" max="1305" width="56.42578125" style="118" bestFit="1" customWidth="1"/>
    <col min="1306" max="1546" width="9.140625" style="118"/>
    <col min="1547" max="1547" width="10.5703125" style="118" bestFit="1" customWidth="1"/>
    <col min="1548" max="1549" width="10.5703125" style="118" customWidth="1"/>
    <col min="1550" max="1550" width="13.5703125" style="118" customWidth="1"/>
    <col min="1551" max="1551" width="11.5703125" style="118" customWidth="1"/>
    <col min="1552" max="1552" width="21.7109375" style="118" customWidth="1"/>
    <col min="1553" max="1553" width="15.85546875" style="118" customWidth="1"/>
    <col min="1554" max="1554" width="16.85546875" style="118" customWidth="1"/>
    <col min="1555" max="1555" width="24.140625" style="118" bestFit="1" customWidth="1"/>
    <col min="1556" max="1558" width="9.140625" style="118"/>
    <col min="1559" max="1559" width="15.28515625" style="118" customWidth="1"/>
    <col min="1560" max="1560" width="13.28515625" style="118" customWidth="1"/>
    <col min="1561" max="1561" width="56.42578125" style="118" bestFit="1" customWidth="1"/>
    <col min="1562" max="1802" width="9.140625" style="118"/>
    <col min="1803" max="1803" width="10.5703125" style="118" bestFit="1" customWidth="1"/>
    <col min="1804" max="1805" width="10.5703125" style="118" customWidth="1"/>
    <col min="1806" max="1806" width="13.5703125" style="118" customWidth="1"/>
    <col min="1807" max="1807" width="11.5703125" style="118" customWidth="1"/>
    <col min="1808" max="1808" width="21.7109375" style="118" customWidth="1"/>
    <col min="1809" max="1809" width="15.85546875" style="118" customWidth="1"/>
    <col min="1810" max="1810" width="16.85546875" style="118" customWidth="1"/>
    <col min="1811" max="1811" width="24.140625" style="118" bestFit="1" customWidth="1"/>
    <col min="1812" max="1814" width="9.140625" style="118"/>
    <col min="1815" max="1815" width="15.28515625" style="118" customWidth="1"/>
    <col min="1816" max="1816" width="13.28515625" style="118" customWidth="1"/>
    <col min="1817" max="1817" width="56.42578125" style="118" bestFit="1" customWidth="1"/>
    <col min="1818" max="2058" width="9.140625" style="118"/>
    <col min="2059" max="2059" width="10.5703125" style="118" bestFit="1" customWidth="1"/>
    <col min="2060" max="2061" width="10.5703125" style="118" customWidth="1"/>
    <col min="2062" max="2062" width="13.5703125" style="118" customWidth="1"/>
    <col min="2063" max="2063" width="11.5703125" style="118" customWidth="1"/>
    <col min="2064" max="2064" width="21.7109375" style="118" customWidth="1"/>
    <col min="2065" max="2065" width="15.85546875" style="118" customWidth="1"/>
    <col min="2066" max="2066" width="16.85546875" style="118" customWidth="1"/>
    <col min="2067" max="2067" width="24.140625" style="118" bestFit="1" customWidth="1"/>
    <col min="2068" max="2070" width="9.140625" style="118"/>
    <col min="2071" max="2071" width="15.28515625" style="118" customWidth="1"/>
    <col min="2072" max="2072" width="13.28515625" style="118" customWidth="1"/>
    <col min="2073" max="2073" width="56.42578125" style="118" bestFit="1" customWidth="1"/>
    <col min="2074" max="2314" width="9.140625" style="118"/>
    <col min="2315" max="2315" width="10.5703125" style="118" bestFit="1" customWidth="1"/>
    <col min="2316" max="2317" width="10.5703125" style="118" customWidth="1"/>
    <col min="2318" max="2318" width="13.5703125" style="118" customWidth="1"/>
    <col min="2319" max="2319" width="11.5703125" style="118" customWidth="1"/>
    <col min="2320" max="2320" width="21.7109375" style="118" customWidth="1"/>
    <col min="2321" max="2321" width="15.85546875" style="118" customWidth="1"/>
    <col min="2322" max="2322" width="16.85546875" style="118" customWidth="1"/>
    <col min="2323" max="2323" width="24.140625" style="118" bestFit="1" customWidth="1"/>
    <col min="2324" max="2326" width="9.140625" style="118"/>
    <col min="2327" max="2327" width="15.28515625" style="118" customWidth="1"/>
    <col min="2328" max="2328" width="13.28515625" style="118" customWidth="1"/>
    <col min="2329" max="2329" width="56.42578125" style="118" bestFit="1" customWidth="1"/>
    <col min="2330" max="2570" width="9.140625" style="118"/>
    <col min="2571" max="2571" width="10.5703125" style="118" bestFit="1" customWidth="1"/>
    <col min="2572" max="2573" width="10.5703125" style="118" customWidth="1"/>
    <col min="2574" max="2574" width="13.5703125" style="118" customWidth="1"/>
    <col min="2575" max="2575" width="11.5703125" style="118" customWidth="1"/>
    <col min="2576" max="2576" width="21.7109375" style="118" customWidth="1"/>
    <col min="2577" max="2577" width="15.85546875" style="118" customWidth="1"/>
    <col min="2578" max="2578" width="16.85546875" style="118" customWidth="1"/>
    <col min="2579" max="2579" width="24.140625" style="118" bestFit="1" customWidth="1"/>
    <col min="2580" max="2582" width="9.140625" style="118"/>
    <col min="2583" max="2583" width="15.28515625" style="118" customWidth="1"/>
    <col min="2584" max="2584" width="13.28515625" style="118" customWidth="1"/>
    <col min="2585" max="2585" width="56.42578125" style="118" bestFit="1" customWidth="1"/>
    <col min="2586" max="2826" width="9.140625" style="118"/>
    <col min="2827" max="2827" width="10.5703125" style="118" bestFit="1" customWidth="1"/>
    <col min="2828" max="2829" width="10.5703125" style="118" customWidth="1"/>
    <col min="2830" max="2830" width="13.5703125" style="118" customWidth="1"/>
    <col min="2831" max="2831" width="11.5703125" style="118" customWidth="1"/>
    <col min="2832" max="2832" width="21.7109375" style="118" customWidth="1"/>
    <col min="2833" max="2833" width="15.85546875" style="118" customWidth="1"/>
    <col min="2834" max="2834" width="16.85546875" style="118" customWidth="1"/>
    <col min="2835" max="2835" width="24.140625" style="118" bestFit="1" customWidth="1"/>
    <col min="2836" max="2838" width="9.140625" style="118"/>
    <col min="2839" max="2839" width="15.28515625" style="118" customWidth="1"/>
    <col min="2840" max="2840" width="13.28515625" style="118" customWidth="1"/>
    <col min="2841" max="2841" width="56.42578125" style="118" bestFit="1" customWidth="1"/>
    <col min="2842" max="3082" width="9.140625" style="118"/>
    <col min="3083" max="3083" width="10.5703125" style="118" bestFit="1" customWidth="1"/>
    <col min="3084" max="3085" width="10.5703125" style="118" customWidth="1"/>
    <col min="3086" max="3086" width="13.5703125" style="118" customWidth="1"/>
    <col min="3087" max="3087" width="11.5703125" style="118" customWidth="1"/>
    <col min="3088" max="3088" width="21.7109375" style="118" customWidth="1"/>
    <col min="3089" max="3089" width="15.85546875" style="118" customWidth="1"/>
    <col min="3090" max="3090" width="16.85546875" style="118" customWidth="1"/>
    <col min="3091" max="3091" width="24.140625" style="118" bestFit="1" customWidth="1"/>
    <col min="3092" max="3094" width="9.140625" style="118"/>
    <col min="3095" max="3095" width="15.28515625" style="118" customWidth="1"/>
    <col min="3096" max="3096" width="13.28515625" style="118" customWidth="1"/>
    <col min="3097" max="3097" width="56.42578125" style="118" bestFit="1" customWidth="1"/>
    <col min="3098" max="3338" width="9.140625" style="118"/>
    <col min="3339" max="3339" width="10.5703125" style="118" bestFit="1" customWidth="1"/>
    <col min="3340" max="3341" width="10.5703125" style="118" customWidth="1"/>
    <col min="3342" max="3342" width="13.5703125" style="118" customWidth="1"/>
    <col min="3343" max="3343" width="11.5703125" style="118" customWidth="1"/>
    <col min="3344" max="3344" width="21.7109375" style="118" customWidth="1"/>
    <col min="3345" max="3345" width="15.85546875" style="118" customWidth="1"/>
    <col min="3346" max="3346" width="16.85546875" style="118" customWidth="1"/>
    <col min="3347" max="3347" width="24.140625" style="118" bestFit="1" customWidth="1"/>
    <col min="3348" max="3350" width="9.140625" style="118"/>
    <col min="3351" max="3351" width="15.28515625" style="118" customWidth="1"/>
    <col min="3352" max="3352" width="13.28515625" style="118" customWidth="1"/>
    <col min="3353" max="3353" width="56.42578125" style="118" bestFit="1" customWidth="1"/>
    <col min="3354" max="3594" width="9.140625" style="118"/>
    <col min="3595" max="3595" width="10.5703125" style="118" bestFit="1" customWidth="1"/>
    <col min="3596" max="3597" width="10.5703125" style="118" customWidth="1"/>
    <col min="3598" max="3598" width="13.5703125" style="118" customWidth="1"/>
    <col min="3599" max="3599" width="11.5703125" style="118" customWidth="1"/>
    <col min="3600" max="3600" width="21.7109375" style="118" customWidth="1"/>
    <col min="3601" max="3601" width="15.85546875" style="118" customWidth="1"/>
    <col min="3602" max="3602" width="16.85546875" style="118" customWidth="1"/>
    <col min="3603" max="3603" width="24.140625" style="118" bestFit="1" customWidth="1"/>
    <col min="3604" max="3606" width="9.140625" style="118"/>
    <col min="3607" max="3607" width="15.28515625" style="118" customWidth="1"/>
    <col min="3608" max="3608" width="13.28515625" style="118" customWidth="1"/>
    <col min="3609" max="3609" width="56.42578125" style="118" bestFit="1" customWidth="1"/>
    <col min="3610" max="3850" width="9.140625" style="118"/>
    <col min="3851" max="3851" width="10.5703125" style="118" bestFit="1" customWidth="1"/>
    <col min="3852" max="3853" width="10.5703125" style="118" customWidth="1"/>
    <col min="3854" max="3854" width="13.5703125" style="118" customWidth="1"/>
    <col min="3855" max="3855" width="11.5703125" style="118" customWidth="1"/>
    <col min="3856" max="3856" width="21.7109375" style="118" customWidth="1"/>
    <col min="3857" max="3857" width="15.85546875" style="118" customWidth="1"/>
    <col min="3858" max="3858" width="16.85546875" style="118" customWidth="1"/>
    <col min="3859" max="3859" width="24.140625" style="118" bestFit="1" customWidth="1"/>
    <col min="3860" max="3862" width="9.140625" style="118"/>
    <col min="3863" max="3863" width="15.28515625" style="118" customWidth="1"/>
    <col min="3864" max="3864" width="13.28515625" style="118" customWidth="1"/>
    <col min="3865" max="3865" width="56.42578125" style="118" bestFit="1" customWidth="1"/>
    <col min="3866" max="4106" width="9.140625" style="118"/>
    <col min="4107" max="4107" width="10.5703125" style="118" bestFit="1" customWidth="1"/>
    <col min="4108" max="4109" width="10.5703125" style="118" customWidth="1"/>
    <col min="4110" max="4110" width="13.5703125" style="118" customWidth="1"/>
    <col min="4111" max="4111" width="11.5703125" style="118" customWidth="1"/>
    <col min="4112" max="4112" width="21.7109375" style="118" customWidth="1"/>
    <col min="4113" max="4113" width="15.85546875" style="118" customWidth="1"/>
    <col min="4114" max="4114" width="16.85546875" style="118" customWidth="1"/>
    <col min="4115" max="4115" width="24.140625" style="118" bestFit="1" customWidth="1"/>
    <col min="4116" max="4118" width="9.140625" style="118"/>
    <col min="4119" max="4119" width="15.28515625" style="118" customWidth="1"/>
    <col min="4120" max="4120" width="13.28515625" style="118" customWidth="1"/>
    <col min="4121" max="4121" width="56.42578125" style="118" bestFit="1" customWidth="1"/>
    <col min="4122" max="4362" width="9.140625" style="118"/>
    <col min="4363" max="4363" width="10.5703125" style="118" bestFit="1" customWidth="1"/>
    <col min="4364" max="4365" width="10.5703125" style="118" customWidth="1"/>
    <col min="4366" max="4366" width="13.5703125" style="118" customWidth="1"/>
    <col min="4367" max="4367" width="11.5703125" style="118" customWidth="1"/>
    <col min="4368" max="4368" width="21.7109375" style="118" customWidth="1"/>
    <col min="4369" max="4369" width="15.85546875" style="118" customWidth="1"/>
    <col min="4370" max="4370" width="16.85546875" style="118" customWidth="1"/>
    <col min="4371" max="4371" width="24.140625" style="118" bestFit="1" customWidth="1"/>
    <col min="4372" max="4374" width="9.140625" style="118"/>
    <col min="4375" max="4375" width="15.28515625" style="118" customWidth="1"/>
    <col min="4376" max="4376" width="13.28515625" style="118" customWidth="1"/>
    <col min="4377" max="4377" width="56.42578125" style="118" bestFit="1" customWidth="1"/>
    <col min="4378" max="4618" width="9.140625" style="118"/>
    <col min="4619" max="4619" width="10.5703125" style="118" bestFit="1" customWidth="1"/>
    <col min="4620" max="4621" width="10.5703125" style="118" customWidth="1"/>
    <col min="4622" max="4622" width="13.5703125" style="118" customWidth="1"/>
    <col min="4623" max="4623" width="11.5703125" style="118" customWidth="1"/>
    <col min="4624" max="4624" width="21.7109375" style="118" customWidth="1"/>
    <col min="4625" max="4625" width="15.85546875" style="118" customWidth="1"/>
    <col min="4626" max="4626" width="16.85546875" style="118" customWidth="1"/>
    <col min="4627" max="4627" width="24.140625" style="118" bestFit="1" customWidth="1"/>
    <col min="4628" max="4630" width="9.140625" style="118"/>
    <col min="4631" max="4631" width="15.28515625" style="118" customWidth="1"/>
    <col min="4632" max="4632" width="13.28515625" style="118" customWidth="1"/>
    <col min="4633" max="4633" width="56.42578125" style="118" bestFit="1" customWidth="1"/>
    <col min="4634" max="4874" width="9.140625" style="118"/>
    <col min="4875" max="4875" width="10.5703125" style="118" bestFit="1" customWidth="1"/>
    <col min="4876" max="4877" width="10.5703125" style="118" customWidth="1"/>
    <col min="4878" max="4878" width="13.5703125" style="118" customWidth="1"/>
    <col min="4879" max="4879" width="11.5703125" style="118" customWidth="1"/>
    <col min="4880" max="4880" width="21.7109375" style="118" customWidth="1"/>
    <col min="4881" max="4881" width="15.85546875" style="118" customWidth="1"/>
    <col min="4882" max="4882" width="16.85546875" style="118" customWidth="1"/>
    <col min="4883" max="4883" width="24.140625" style="118" bestFit="1" customWidth="1"/>
    <col min="4884" max="4886" width="9.140625" style="118"/>
    <col min="4887" max="4887" width="15.28515625" style="118" customWidth="1"/>
    <col min="4888" max="4888" width="13.28515625" style="118" customWidth="1"/>
    <col min="4889" max="4889" width="56.42578125" style="118" bestFit="1" customWidth="1"/>
    <col min="4890" max="5130" width="9.140625" style="118"/>
    <col min="5131" max="5131" width="10.5703125" style="118" bestFit="1" customWidth="1"/>
    <col min="5132" max="5133" width="10.5703125" style="118" customWidth="1"/>
    <col min="5134" max="5134" width="13.5703125" style="118" customWidth="1"/>
    <col min="5135" max="5135" width="11.5703125" style="118" customWidth="1"/>
    <col min="5136" max="5136" width="21.7109375" style="118" customWidth="1"/>
    <col min="5137" max="5137" width="15.85546875" style="118" customWidth="1"/>
    <col min="5138" max="5138" width="16.85546875" style="118" customWidth="1"/>
    <col min="5139" max="5139" width="24.140625" style="118" bestFit="1" customWidth="1"/>
    <col min="5140" max="5142" width="9.140625" style="118"/>
    <col min="5143" max="5143" width="15.28515625" style="118" customWidth="1"/>
    <col min="5144" max="5144" width="13.28515625" style="118" customWidth="1"/>
    <col min="5145" max="5145" width="56.42578125" style="118" bestFit="1" customWidth="1"/>
    <col min="5146" max="5386" width="9.140625" style="118"/>
    <col min="5387" max="5387" width="10.5703125" style="118" bestFit="1" customWidth="1"/>
    <col min="5388" max="5389" width="10.5703125" style="118" customWidth="1"/>
    <col min="5390" max="5390" width="13.5703125" style="118" customWidth="1"/>
    <col min="5391" max="5391" width="11.5703125" style="118" customWidth="1"/>
    <col min="5392" max="5392" width="21.7109375" style="118" customWidth="1"/>
    <col min="5393" max="5393" width="15.85546875" style="118" customWidth="1"/>
    <col min="5394" max="5394" width="16.85546875" style="118" customWidth="1"/>
    <col min="5395" max="5395" width="24.140625" style="118" bestFit="1" customWidth="1"/>
    <col min="5396" max="5398" width="9.140625" style="118"/>
    <col min="5399" max="5399" width="15.28515625" style="118" customWidth="1"/>
    <col min="5400" max="5400" width="13.28515625" style="118" customWidth="1"/>
    <col min="5401" max="5401" width="56.42578125" style="118" bestFit="1" customWidth="1"/>
    <col min="5402" max="5642" width="9.140625" style="118"/>
    <col min="5643" max="5643" width="10.5703125" style="118" bestFit="1" customWidth="1"/>
    <col min="5644" max="5645" width="10.5703125" style="118" customWidth="1"/>
    <col min="5646" max="5646" width="13.5703125" style="118" customWidth="1"/>
    <col min="5647" max="5647" width="11.5703125" style="118" customWidth="1"/>
    <col min="5648" max="5648" width="21.7109375" style="118" customWidth="1"/>
    <col min="5649" max="5649" width="15.85546875" style="118" customWidth="1"/>
    <col min="5650" max="5650" width="16.85546875" style="118" customWidth="1"/>
    <col min="5651" max="5651" width="24.140625" style="118" bestFit="1" customWidth="1"/>
    <col min="5652" max="5654" width="9.140625" style="118"/>
    <col min="5655" max="5655" width="15.28515625" style="118" customWidth="1"/>
    <col min="5656" max="5656" width="13.28515625" style="118" customWidth="1"/>
    <col min="5657" max="5657" width="56.42578125" style="118" bestFit="1" customWidth="1"/>
    <col min="5658" max="5898" width="9.140625" style="118"/>
    <col min="5899" max="5899" width="10.5703125" style="118" bestFit="1" customWidth="1"/>
    <col min="5900" max="5901" width="10.5703125" style="118" customWidth="1"/>
    <col min="5902" max="5902" width="13.5703125" style="118" customWidth="1"/>
    <col min="5903" max="5903" width="11.5703125" style="118" customWidth="1"/>
    <col min="5904" max="5904" width="21.7109375" style="118" customWidth="1"/>
    <col min="5905" max="5905" width="15.85546875" style="118" customWidth="1"/>
    <col min="5906" max="5906" width="16.85546875" style="118" customWidth="1"/>
    <col min="5907" max="5907" width="24.140625" style="118" bestFit="1" customWidth="1"/>
    <col min="5908" max="5910" width="9.140625" style="118"/>
    <col min="5911" max="5911" width="15.28515625" style="118" customWidth="1"/>
    <col min="5912" max="5912" width="13.28515625" style="118" customWidth="1"/>
    <col min="5913" max="5913" width="56.42578125" style="118" bestFit="1" customWidth="1"/>
    <col min="5914" max="6154" width="9.140625" style="118"/>
    <col min="6155" max="6155" width="10.5703125" style="118" bestFit="1" customWidth="1"/>
    <col min="6156" max="6157" width="10.5703125" style="118" customWidth="1"/>
    <col min="6158" max="6158" width="13.5703125" style="118" customWidth="1"/>
    <col min="6159" max="6159" width="11.5703125" style="118" customWidth="1"/>
    <col min="6160" max="6160" width="21.7109375" style="118" customWidth="1"/>
    <col min="6161" max="6161" width="15.85546875" style="118" customWidth="1"/>
    <col min="6162" max="6162" width="16.85546875" style="118" customWidth="1"/>
    <col min="6163" max="6163" width="24.140625" style="118" bestFit="1" customWidth="1"/>
    <col min="6164" max="6166" width="9.140625" style="118"/>
    <col min="6167" max="6167" width="15.28515625" style="118" customWidth="1"/>
    <col min="6168" max="6168" width="13.28515625" style="118" customWidth="1"/>
    <col min="6169" max="6169" width="56.42578125" style="118" bestFit="1" customWidth="1"/>
    <col min="6170" max="6410" width="9.140625" style="118"/>
    <col min="6411" max="6411" width="10.5703125" style="118" bestFit="1" customWidth="1"/>
    <col min="6412" max="6413" width="10.5703125" style="118" customWidth="1"/>
    <col min="6414" max="6414" width="13.5703125" style="118" customWidth="1"/>
    <col min="6415" max="6415" width="11.5703125" style="118" customWidth="1"/>
    <col min="6416" max="6416" width="21.7109375" style="118" customWidth="1"/>
    <col min="6417" max="6417" width="15.85546875" style="118" customWidth="1"/>
    <col min="6418" max="6418" width="16.85546875" style="118" customWidth="1"/>
    <col min="6419" max="6419" width="24.140625" style="118" bestFit="1" customWidth="1"/>
    <col min="6420" max="6422" width="9.140625" style="118"/>
    <col min="6423" max="6423" width="15.28515625" style="118" customWidth="1"/>
    <col min="6424" max="6424" width="13.28515625" style="118" customWidth="1"/>
    <col min="6425" max="6425" width="56.42578125" style="118" bestFit="1" customWidth="1"/>
    <col min="6426" max="6666" width="9.140625" style="118"/>
    <col min="6667" max="6667" width="10.5703125" style="118" bestFit="1" customWidth="1"/>
    <col min="6668" max="6669" width="10.5703125" style="118" customWidth="1"/>
    <col min="6670" max="6670" width="13.5703125" style="118" customWidth="1"/>
    <col min="6671" max="6671" width="11.5703125" style="118" customWidth="1"/>
    <col min="6672" max="6672" width="21.7109375" style="118" customWidth="1"/>
    <col min="6673" max="6673" width="15.85546875" style="118" customWidth="1"/>
    <col min="6674" max="6674" width="16.85546875" style="118" customWidth="1"/>
    <col min="6675" max="6675" width="24.140625" style="118" bestFit="1" customWidth="1"/>
    <col min="6676" max="6678" width="9.140625" style="118"/>
    <col min="6679" max="6679" width="15.28515625" style="118" customWidth="1"/>
    <col min="6680" max="6680" width="13.28515625" style="118" customWidth="1"/>
    <col min="6681" max="6681" width="56.42578125" style="118" bestFit="1" customWidth="1"/>
    <col min="6682" max="6922" width="9.140625" style="118"/>
    <col min="6923" max="6923" width="10.5703125" style="118" bestFit="1" customWidth="1"/>
    <col min="6924" max="6925" width="10.5703125" style="118" customWidth="1"/>
    <col min="6926" max="6926" width="13.5703125" style="118" customWidth="1"/>
    <col min="6927" max="6927" width="11.5703125" style="118" customWidth="1"/>
    <col min="6928" max="6928" width="21.7109375" style="118" customWidth="1"/>
    <col min="6929" max="6929" width="15.85546875" style="118" customWidth="1"/>
    <col min="6930" max="6930" width="16.85546875" style="118" customWidth="1"/>
    <col min="6931" max="6931" width="24.140625" style="118" bestFit="1" customWidth="1"/>
    <col min="6932" max="6934" width="9.140625" style="118"/>
    <col min="6935" max="6935" width="15.28515625" style="118" customWidth="1"/>
    <col min="6936" max="6936" width="13.28515625" style="118" customWidth="1"/>
    <col min="6937" max="6937" width="56.42578125" style="118" bestFit="1" customWidth="1"/>
    <col min="6938" max="7178" width="9.140625" style="118"/>
    <col min="7179" max="7179" width="10.5703125" style="118" bestFit="1" customWidth="1"/>
    <col min="7180" max="7181" width="10.5703125" style="118" customWidth="1"/>
    <col min="7182" max="7182" width="13.5703125" style="118" customWidth="1"/>
    <col min="7183" max="7183" width="11.5703125" style="118" customWidth="1"/>
    <col min="7184" max="7184" width="21.7109375" style="118" customWidth="1"/>
    <col min="7185" max="7185" width="15.85546875" style="118" customWidth="1"/>
    <col min="7186" max="7186" width="16.85546875" style="118" customWidth="1"/>
    <col min="7187" max="7187" width="24.140625" style="118" bestFit="1" customWidth="1"/>
    <col min="7188" max="7190" width="9.140625" style="118"/>
    <col min="7191" max="7191" width="15.28515625" style="118" customWidth="1"/>
    <col min="7192" max="7192" width="13.28515625" style="118" customWidth="1"/>
    <col min="7193" max="7193" width="56.42578125" style="118" bestFit="1" customWidth="1"/>
    <col min="7194" max="7434" width="9.140625" style="118"/>
    <col min="7435" max="7435" width="10.5703125" style="118" bestFit="1" customWidth="1"/>
    <col min="7436" max="7437" width="10.5703125" style="118" customWidth="1"/>
    <col min="7438" max="7438" width="13.5703125" style="118" customWidth="1"/>
    <col min="7439" max="7439" width="11.5703125" style="118" customWidth="1"/>
    <col min="7440" max="7440" width="21.7109375" style="118" customWidth="1"/>
    <col min="7441" max="7441" width="15.85546875" style="118" customWidth="1"/>
    <col min="7442" max="7442" width="16.85546875" style="118" customWidth="1"/>
    <col min="7443" max="7443" width="24.140625" style="118" bestFit="1" customWidth="1"/>
    <col min="7444" max="7446" width="9.140625" style="118"/>
    <col min="7447" max="7447" width="15.28515625" style="118" customWidth="1"/>
    <col min="7448" max="7448" width="13.28515625" style="118" customWidth="1"/>
    <col min="7449" max="7449" width="56.42578125" style="118" bestFit="1" customWidth="1"/>
    <col min="7450" max="7690" width="9.140625" style="118"/>
    <col min="7691" max="7691" width="10.5703125" style="118" bestFit="1" customWidth="1"/>
    <col min="7692" max="7693" width="10.5703125" style="118" customWidth="1"/>
    <col min="7694" max="7694" width="13.5703125" style="118" customWidth="1"/>
    <col min="7695" max="7695" width="11.5703125" style="118" customWidth="1"/>
    <col min="7696" max="7696" width="21.7109375" style="118" customWidth="1"/>
    <col min="7697" max="7697" width="15.85546875" style="118" customWidth="1"/>
    <col min="7698" max="7698" width="16.85546875" style="118" customWidth="1"/>
    <col min="7699" max="7699" width="24.140625" style="118" bestFit="1" customWidth="1"/>
    <col min="7700" max="7702" width="9.140625" style="118"/>
    <col min="7703" max="7703" width="15.28515625" style="118" customWidth="1"/>
    <col min="7704" max="7704" width="13.28515625" style="118" customWidth="1"/>
    <col min="7705" max="7705" width="56.42578125" style="118" bestFit="1" customWidth="1"/>
    <col min="7706" max="7946" width="9.140625" style="118"/>
    <col min="7947" max="7947" width="10.5703125" style="118" bestFit="1" customWidth="1"/>
    <col min="7948" max="7949" width="10.5703125" style="118" customWidth="1"/>
    <col min="7950" max="7950" width="13.5703125" style="118" customWidth="1"/>
    <col min="7951" max="7951" width="11.5703125" style="118" customWidth="1"/>
    <col min="7952" max="7952" width="21.7109375" style="118" customWidth="1"/>
    <col min="7953" max="7953" width="15.85546875" style="118" customWidth="1"/>
    <col min="7954" max="7954" width="16.85546875" style="118" customWidth="1"/>
    <col min="7955" max="7955" width="24.140625" style="118" bestFit="1" customWidth="1"/>
    <col min="7956" max="7958" width="9.140625" style="118"/>
    <col min="7959" max="7959" width="15.28515625" style="118" customWidth="1"/>
    <col min="7960" max="7960" width="13.28515625" style="118" customWidth="1"/>
    <col min="7961" max="7961" width="56.42578125" style="118" bestFit="1" customWidth="1"/>
    <col min="7962" max="8202" width="9.140625" style="118"/>
    <col min="8203" max="8203" width="10.5703125" style="118" bestFit="1" customWidth="1"/>
    <col min="8204" max="8205" width="10.5703125" style="118" customWidth="1"/>
    <col min="8206" max="8206" width="13.5703125" style="118" customWidth="1"/>
    <col min="8207" max="8207" width="11.5703125" style="118" customWidth="1"/>
    <col min="8208" max="8208" width="21.7109375" style="118" customWidth="1"/>
    <col min="8209" max="8209" width="15.85546875" style="118" customWidth="1"/>
    <col min="8210" max="8210" width="16.85546875" style="118" customWidth="1"/>
    <col min="8211" max="8211" width="24.140625" style="118" bestFit="1" customWidth="1"/>
    <col min="8212" max="8214" width="9.140625" style="118"/>
    <col min="8215" max="8215" width="15.28515625" style="118" customWidth="1"/>
    <col min="8216" max="8216" width="13.28515625" style="118" customWidth="1"/>
    <col min="8217" max="8217" width="56.42578125" style="118" bestFit="1" customWidth="1"/>
    <col min="8218" max="8458" width="9.140625" style="118"/>
    <col min="8459" max="8459" width="10.5703125" style="118" bestFit="1" customWidth="1"/>
    <col min="8460" max="8461" width="10.5703125" style="118" customWidth="1"/>
    <col min="8462" max="8462" width="13.5703125" style="118" customWidth="1"/>
    <col min="8463" max="8463" width="11.5703125" style="118" customWidth="1"/>
    <col min="8464" max="8464" width="21.7109375" style="118" customWidth="1"/>
    <col min="8465" max="8465" width="15.85546875" style="118" customWidth="1"/>
    <col min="8466" max="8466" width="16.85546875" style="118" customWidth="1"/>
    <col min="8467" max="8467" width="24.140625" style="118" bestFit="1" customWidth="1"/>
    <col min="8468" max="8470" width="9.140625" style="118"/>
    <col min="8471" max="8471" width="15.28515625" style="118" customWidth="1"/>
    <col min="8472" max="8472" width="13.28515625" style="118" customWidth="1"/>
    <col min="8473" max="8473" width="56.42578125" style="118" bestFit="1" customWidth="1"/>
    <col min="8474" max="8714" width="9.140625" style="118"/>
    <col min="8715" max="8715" width="10.5703125" style="118" bestFit="1" customWidth="1"/>
    <col min="8716" max="8717" width="10.5703125" style="118" customWidth="1"/>
    <col min="8718" max="8718" width="13.5703125" style="118" customWidth="1"/>
    <col min="8719" max="8719" width="11.5703125" style="118" customWidth="1"/>
    <col min="8720" max="8720" width="21.7109375" style="118" customWidth="1"/>
    <col min="8721" max="8721" width="15.85546875" style="118" customWidth="1"/>
    <col min="8722" max="8722" width="16.85546875" style="118" customWidth="1"/>
    <col min="8723" max="8723" width="24.140625" style="118" bestFit="1" customWidth="1"/>
    <col min="8724" max="8726" width="9.140625" style="118"/>
    <col min="8727" max="8727" width="15.28515625" style="118" customWidth="1"/>
    <col min="8728" max="8728" width="13.28515625" style="118" customWidth="1"/>
    <col min="8729" max="8729" width="56.42578125" style="118" bestFit="1" customWidth="1"/>
    <col min="8730" max="8970" width="9.140625" style="118"/>
    <col min="8971" max="8971" width="10.5703125" style="118" bestFit="1" customWidth="1"/>
    <col min="8972" max="8973" width="10.5703125" style="118" customWidth="1"/>
    <col min="8974" max="8974" width="13.5703125" style="118" customWidth="1"/>
    <col min="8975" max="8975" width="11.5703125" style="118" customWidth="1"/>
    <col min="8976" max="8976" width="21.7109375" style="118" customWidth="1"/>
    <col min="8977" max="8977" width="15.85546875" style="118" customWidth="1"/>
    <col min="8978" max="8978" width="16.85546875" style="118" customWidth="1"/>
    <col min="8979" max="8979" width="24.140625" style="118" bestFit="1" customWidth="1"/>
    <col min="8980" max="8982" width="9.140625" style="118"/>
    <col min="8983" max="8983" width="15.28515625" style="118" customWidth="1"/>
    <col min="8984" max="8984" width="13.28515625" style="118" customWidth="1"/>
    <col min="8985" max="8985" width="56.42578125" style="118" bestFit="1" customWidth="1"/>
    <col min="8986" max="9226" width="9.140625" style="118"/>
    <col min="9227" max="9227" width="10.5703125" style="118" bestFit="1" customWidth="1"/>
    <col min="9228" max="9229" width="10.5703125" style="118" customWidth="1"/>
    <col min="9230" max="9230" width="13.5703125" style="118" customWidth="1"/>
    <col min="9231" max="9231" width="11.5703125" style="118" customWidth="1"/>
    <col min="9232" max="9232" width="21.7109375" style="118" customWidth="1"/>
    <col min="9233" max="9233" width="15.85546875" style="118" customWidth="1"/>
    <col min="9234" max="9234" width="16.85546875" style="118" customWidth="1"/>
    <col min="9235" max="9235" width="24.140625" style="118" bestFit="1" customWidth="1"/>
    <col min="9236" max="9238" width="9.140625" style="118"/>
    <col min="9239" max="9239" width="15.28515625" style="118" customWidth="1"/>
    <col min="9240" max="9240" width="13.28515625" style="118" customWidth="1"/>
    <col min="9241" max="9241" width="56.42578125" style="118" bestFit="1" customWidth="1"/>
    <col min="9242" max="9482" width="9.140625" style="118"/>
    <col min="9483" max="9483" width="10.5703125" style="118" bestFit="1" customWidth="1"/>
    <col min="9484" max="9485" width="10.5703125" style="118" customWidth="1"/>
    <col min="9486" max="9486" width="13.5703125" style="118" customWidth="1"/>
    <col min="9487" max="9487" width="11.5703125" style="118" customWidth="1"/>
    <col min="9488" max="9488" width="21.7109375" style="118" customWidth="1"/>
    <col min="9489" max="9489" width="15.85546875" style="118" customWidth="1"/>
    <col min="9490" max="9490" width="16.85546875" style="118" customWidth="1"/>
    <col min="9491" max="9491" width="24.140625" style="118" bestFit="1" customWidth="1"/>
    <col min="9492" max="9494" width="9.140625" style="118"/>
    <col min="9495" max="9495" width="15.28515625" style="118" customWidth="1"/>
    <col min="9496" max="9496" width="13.28515625" style="118" customWidth="1"/>
    <col min="9497" max="9497" width="56.42578125" style="118" bestFit="1" customWidth="1"/>
    <col min="9498" max="9738" width="9.140625" style="118"/>
    <col min="9739" max="9739" width="10.5703125" style="118" bestFit="1" customWidth="1"/>
    <col min="9740" max="9741" width="10.5703125" style="118" customWidth="1"/>
    <col min="9742" max="9742" width="13.5703125" style="118" customWidth="1"/>
    <col min="9743" max="9743" width="11.5703125" style="118" customWidth="1"/>
    <col min="9744" max="9744" width="21.7109375" style="118" customWidth="1"/>
    <col min="9745" max="9745" width="15.85546875" style="118" customWidth="1"/>
    <col min="9746" max="9746" width="16.85546875" style="118" customWidth="1"/>
    <col min="9747" max="9747" width="24.140625" style="118" bestFit="1" customWidth="1"/>
    <col min="9748" max="9750" width="9.140625" style="118"/>
    <col min="9751" max="9751" width="15.28515625" style="118" customWidth="1"/>
    <col min="9752" max="9752" width="13.28515625" style="118" customWidth="1"/>
    <col min="9753" max="9753" width="56.42578125" style="118" bestFit="1" customWidth="1"/>
    <col min="9754" max="9994" width="9.140625" style="118"/>
    <col min="9995" max="9995" width="10.5703125" style="118" bestFit="1" customWidth="1"/>
    <col min="9996" max="9997" width="10.5703125" style="118" customWidth="1"/>
    <col min="9998" max="9998" width="13.5703125" style="118" customWidth="1"/>
    <col min="9999" max="9999" width="11.5703125" style="118" customWidth="1"/>
    <col min="10000" max="10000" width="21.7109375" style="118" customWidth="1"/>
    <col min="10001" max="10001" width="15.85546875" style="118" customWidth="1"/>
    <col min="10002" max="10002" width="16.85546875" style="118" customWidth="1"/>
    <col min="10003" max="10003" width="24.140625" style="118" bestFit="1" customWidth="1"/>
    <col min="10004" max="10006" width="9.140625" style="118"/>
    <col min="10007" max="10007" width="15.28515625" style="118" customWidth="1"/>
    <col min="10008" max="10008" width="13.28515625" style="118" customWidth="1"/>
    <col min="10009" max="10009" width="56.42578125" style="118" bestFit="1" customWidth="1"/>
    <col min="10010" max="10250" width="9.140625" style="118"/>
    <col min="10251" max="10251" width="10.5703125" style="118" bestFit="1" customWidth="1"/>
    <col min="10252" max="10253" width="10.5703125" style="118" customWidth="1"/>
    <col min="10254" max="10254" width="13.5703125" style="118" customWidth="1"/>
    <col min="10255" max="10255" width="11.5703125" style="118" customWidth="1"/>
    <col min="10256" max="10256" width="21.7109375" style="118" customWidth="1"/>
    <col min="10257" max="10257" width="15.85546875" style="118" customWidth="1"/>
    <col min="10258" max="10258" width="16.85546875" style="118" customWidth="1"/>
    <col min="10259" max="10259" width="24.140625" style="118" bestFit="1" customWidth="1"/>
    <col min="10260" max="10262" width="9.140625" style="118"/>
    <col min="10263" max="10263" width="15.28515625" style="118" customWidth="1"/>
    <col min="10264" max="10264" width="13.28515625" style="118" customWidth="1"/>
    <col min="10265" max="10265" width="56.42578125" style="118" bestFit="1" customWidth="1"/>
    <col min="10266" max="10506" width="9.140625" style="118"/>
    <col min="10507" max="10507" width="10.5703125" style="118" bestFit="1" customWidth="1"/>
    <col min="10508" max="10509" width="10.5703125" style="118" customWidth="1"/>
    <col min="10510" max="10510" width="13.5703125" style="118" customWidth="1"/>
    <col min="10511" max="10511" width="11.5703125" style="118" customWidth="1"/>
    <col min="10512" max="10512" width="21.7109375" style="118" customWidth="1"/>
    <col min="10513" max="10513" width="15.85546875" style="118" customWidth="1"/>
    <col min="10514" max="10514" width="16.85546875" style="118" customWidth="1"/>
    <col min="10515" max="10515" width="24.140625" style="118" bestFit="1" customWidth="1"/>
    <col min="10516" max="10518" width="9.140625" style="118"/>
    <col min="10519" max="10519" width="15.28515625" style="118" customWidth="1"/>
    <col min="10520" max="10520" width="13.28515625" style="118" customWidth="1"/>
    <col min="10521" max="10521" width="56.42578125" style="118" bestFit="1" customWidth="1"/>
    <col min="10522" max="10762" width="9.140625" style="118"/>
    <col min="10763" max="10763" width="10.5703125" style="118" bestFit="1" customWidth="1"/>
    <col min="10764" max="10765" width="10.5703125" style="118" customWidth="1"/>
    <col min="10766" max="10766" width="13.5703125" style="118" customWidth="1"/>
    <col min="10767" max="10767" width="11.5703125" style="118" customWidth="1"/>
    <col min="10768" max="10768" width="21.7109375" style="118" customWidth="1"/>
    <col min="10769" max="10769" width="15.85546875" style="118" customWidth="1"/>
    <col min="10770" max="10770" width="16.85546875" style="118" customWidth="1"/>
    <col min="10771" max="10771" width="24.140625" style="118" bestFit="1" customWidth="1"/>
    <col min="10772" max="10774" width="9.140625" style="118"/>
    <col min="10775" max="10775" width="15.28515625" style="118" customWidth="1"/>
    <col min="10776" max="10776" width="13.28515625" style="118" customWidth="1"/>
    <col min="10777" max="10777" width="56.42578125" style="118" bestFit="1" customWidth="1"/>
    <col min="10778" max="11018" width="9.140625" style="118"/>
    <col min="11019" max="11019" width="10.5703125" style="118" bestFit="1" customWidth="1"/>
    <col min="11020" max="11021" width="10.5703125" style="118" customWidth="1"/>
    <col min="11022" max="11022" width="13.5703125" style="118" customWidth="1"/>
    <col min="11023" max="11023" width="11.5703125" style="118" customWidth="1"/>
    <col min="11024" max="11024" width="21.7109375" style="118" customWidth="1"/>
    <col min="11025" max="11025" width="15.85546875" style="118" customWidth="1"/>
    <col min="11026" max="11026" width="16.85546875" style="118" customWidth="1"/>
    <col min="11027" max="11027" width="24.140625" style="118" bestFit="1" customWidth="1"/>
    <col min="11028" max="11030" width="9.140625" style="118"/>
    <col min="11031" max="11031" width="15.28515625" style="118" customWidth="1"/>
    <col min="11032" max="11032" width="13.28515625" style="118" customWidth="1"/>
    <col min="11033" max="11033" width="56.42578125" style="118" bestFit="1" customWidth="1"/>
    <col min="11034" max="11274" width="9.140625" style="118"/>
    <col min="11275" max="11275" width="10.5703125" style="118" bestFit="1" customWidth="1"/>
    <col min="11276" max="11277" width="10.5703125" style="118" customWidth="1"/>
    <col min="11278" max="11278" width="13.5703125" style="118" customWidth="1"/>
    <col min="11279" max="11279" width="11.5703125" style="118" customWidth="1"/>
    <col min="11280" max="11280" width="21.7109375" style="118" customWidth="1"/>
    <col min="11281" max="11281" width="15.85546875" style="118" customWidth="1"/>
    <col min="11282" max="11282" width="16.85546875" style="118" customWidth="1"/>
    <col min="11283" max="11283" width="24.140625" style="118" bestFit="1" customWidth="1"/>
    <col min="11284" max="11286" width="9.140625" style="118"/>
    <col min="11287" max="11287" width="15.28515625" style="118" customWidth="1"/>
    <col min="11288" max="11288" width="13.28515625" style="118" customWidth="1"/>
    <col min="11289" max="11289" width="56.42578125" style="118" bestFit="1" customWidth="1"/>
    <col min="11290" max="11530" width="9.140625" style="118"/>
    <col min="11531" max="11531" width="10.5703125" style="118" bestFit="1" customWidth="1"/>
    <col min="11532" max="11533" width="10.5703125" style="118" customWidth="1"/>
    <col min="11534" max="11534" width="13.5703125" style="118" customWidth="1"/>
    <col min="11535" max="11535" width="11.5703125" style="118" customWidth="1"/>
    <col min="11536" max="11536" width="21.7109375" style="118" customWidth="1"/>
    <col min="11537" max="11537" width="15.85546875" style="118" customWidth="1"/>
    <col min="11538" max="11538" width="16.85546875" style="118" customWidth="1"/>
    <col min="11539" max="11539" width="24.140625" style="118" bestFit="1" customWidth="1"/>
    <col min="11540" max="11542" width="9.140625" style="118"/>
    <col min="11543" max="11543" width="15.28515625" style="118" customWidth="1"/>
    <col min="11544" max="11544" width="13.28515625" style="118" customWidth="1"/>
    <col min="11545" max="11545" width="56.42578125" style="118" bestFit="1" customWidth="1"/>
    <col min="11546" max="11786" width="9.140625" style="118"/>
    <col min="11787" max="11787" width="10.5703125" style="118" bestFit="1" customWidth="1"/>
    <col min="11788" max="11789" width="10.5703125" style="118" customWidth="1"/>
    <col min="11790" max="11790" width="13.5703125" style="118" customWidth="1"/>
    <col min="11791" max="11791" width="11.5703125" style="118" customWidth="1"/>
    <col min="11792" max="11792" width="21.7109375" style="118" customWidth="1"/>
    <col min="11793" max="11793" width="15.85546875" style="118" customWidth="1"/>
    <col min="11794" max="11794" width="16.85546875" style="118" customWidth="1"/>
    <col min="11795" max="11795" width="24.140625" style="118" bestFit="1" customWidth="1"/>
    <col min="11796" max="11798" width="9.140625" style="118"/>
    <col min="11799" max="11799" width="15.28515625" style="118" customWidth="1"/>
    <col min="11800" max="11800" width="13.28515625" style="118" customWidth="1"/>
    <col min="11801" max="11801" width="56.42578125" style="118" bestFit="1" customWidth="1"/>
    <col min="11802" max="12042" width="9.140625" style="118"/>
    <col min="12043" max="12043" width="10.5703125" style="118" bestFit="1" customWidth="1"/>
    <col min="12044" max="12045" width="10.5703125" style="118" customWidth="1"/>
    <col min="12046" max="12046" width="13.5703125" style="118" customWidth="1"/>
    <col min="12047" max="12047" width="11.5703125" style="118" customWidth="1"/>
    <col min="12048" max="12048" width="21.7109375" style="118" customWidth="1"/>
    <col min="12049" max="12049" width="15.85546875" style="118" customWidth="1"/>
    <col min="12050" max="12050" width="16.85546875" style="118" customWidth="1"/>
    <col min="12051" max="12051" width="24.140625" style="118" bestFit="1" customWidth="1"/>
    <col min="12052" max="12054" width="9.140625" style="118"/>
    <col min="12055" max="12055" width="15.28515625" style="118" customWidth="1"/>
    <col min="12056" max="12056" width="13.28515625" style="118" customWidth="1"/>
    <col min="12057" max="12057" width="56.42578125" style="118" bestFit="1" customWidth="1"/>
    <col min="12058" max="12298" width="9.140625" style="118"/>
    <col min="12299" max="12299" width="10.5703125" style="118" bestFit="1" customWidth="1"/>
    <col min="12300" max="12301" width="10.5703125" style="118" customWidth="1"/>
    <col min="12302" max="12302" width="13.5703125" style="118" customWidth="1"/>
    <col min="12303" max="12303" width="11.5703125" style="118" customWidth="1"/>
    <col min="12304" max="12304" width="21.7109375" style="118" customWidth="1"/>
    <col min="12305" max="12305" width="15.85546875" style="118" customWidth="1"/>
    <col min="12306" max="12306" width="16.85546875" style="118" customWidth="1"/>
    <col min="12307" max="12307" width="24.140625" style="118" bestFit="1" customWidth="1"/>
    <col min="12308" max="12310" width="9.140625" style="118"/>
    <col min="12311" max="12311" width="15.28515625" style="118" customWidth="1"/>
    <col min="12312" max="12312" width="13.28515625" style="118" customWidth="1"/>
    <col min="12313" max="12313" width="56.42578125" style="118" bestFit="1" customWidth="1"/>
    <col min="12314" max="12554" width="9.140625" style="118"/>
    <col min="12555" max="12555" width="10.5703125" style="118" bestFit="1" customWidth="1"/>
    <col min="12556" max="12557" width="10.5703125" style="118" customWidth="1"/>
    <col min="12558" max="12558" width="13.5703125" style="118" customWidth="1"/>
    <col min="12559" max="12559" width="11.5703125" style="118" customWidth="1"/>
    <col min="12560" max="12560" width="21.7109375" style="118" customWidth="1"/>
    <col min="12561" max="12561" width="15.85546875" style="118" customWidth="1"/>
    <col min="12562" max="12562" width="16.85546875" style="118" customWidth="1"/>
    <col min="12563" max="12563" width="24.140625" style="118" bestFit="1" customWidth="1"/>
    <col min="12564" max="12566" width="9.140625" style="118"/>
    <col min="12567" max="12567" width="15.28515625" style="118" customWidth="1"/>
    <col min="12568" max="12568" width="13.28515625" style="118" customWidth="1"/>
    <col min="12569" max="12569" width="56.42578125" style="118" bestFit="1" customWidth="1"/>
    <col min="12570" max="12810" width="9.140625" style="118"/>
    <col min="12811" max="12811" width="10.5703125" style="118" bestFit="1" customWidth="1"/>
    <col min="12812" max="12813" width="10.5703125" style="118" customWidth="1"/>
    <col min="12814" max="12814" width="13.5703125" style="118" customWidth="1"/>
    <col min="12815" max="12815" width="11.5703125" style="118" customWidth="1"/>
    <col min="12816" max="12816" width="21.7109375" style="118" customWidth="1"/>
    <col min="12817" max="12817" width="15.85546875" style="118" customWidth="1"/>
    <col min="12818" max="12818" width="16.85546875" style="118" customWidth="1"/>
    <col min="12819" max="12819" width="24.140625" style="118" bestFit="1" customWidth="1"/>
    <col min="12820" max="12822" width="9.140625" style="118"/>
    <col min="12823" max="12823" width="15.28515625" style="118" customWidth="1"/>
    <col min="12824" max="12824" width="13.28515625" style="118" customWidth="1"/>
    <col min="12825" max="12825" width="56.42578125" style="118" bestFit="1" customWidth="1"/>
    <col min="12826" max="13066" width="9.140625" style="118"/>
    <col min="13067" max="13067" width="10.5703125" style="118" bestFit="1" customWidth="1"/>
    <col min="13068" max="13069" width="10.5703125" style="118" customWidth="1"/>
    <col min="13070" max="13070" width="13.5703125" style="118" customWidth="1"/>
    <col min="13071" max="13071" width="11.5703125" style="118" customWidth="1"/>
    <col min="13072" max="13072" width="21.7109375" style="118" customWidth="1"/>
    <col min="13073" max="13073" width="15.85546875" style="118" customWidth="1"/>
    <col min="13074" max="13074" width="16.85546875" style="118" customWidth="1"/>
    <col min="13075" max="13075" width="24.140625" style="118" bestFit="1" customWidth="1"/>
    <col min="13076" max="13078" width="9.140625" style="118"/>
    <col min="13079" max="13079" width="15.28515625" style="118" customWidth="1"/>
    <col min="13080" max="13080" width="13.28515625" style="118" customWidth="1"/>
    <col min="13081" max="13081" width="56.42578125" style="118" bestFit="1" customWidth="1"/>
    <col min="13082" max="13322" width="9.140625" style="118"/>
    <col min="13323" max="13323" width="10.5703125" style="118" bestFit="1" customWidth="1"/>
    <col min="13324" max="13325" width="10.5703125" style="118" customWidth="1"/>
    <col min="13326" max="13326" width="13.5703125" style="118" customWidth="1"/>
    <col min="13327" max="13327" width="11.5703125" style="118" customWidth="1"/>
    <col min="13328" max="13328" width="21.7109375" style="118" customWidth="1"/>
    <col min="13329" max="13329" width="15.85546875" style="118" customWidth="1"/>
    <col min="13330" max="13330" width="16.85546875" style="118" customWidth="1"/>
    <col min="13331" max="13331" width="24.140625" style="118" bestFit="1" customWidth="1"/>
    <col min="13332" max="13334" width="9.140625" style="118"/>
    <col min="13335" max="13335" width="15.28515625" style="118" customWidth="1"/>
    <col min="13336" max="13336" width="13.28515625" style="118" customWidth="1"/>
    <col min="13337" max="13337" width="56.42578125" style="118" bestFit="1" customWidth="1"/>
    <col min="13338" max="13578" width="9.140625" style="118"/>
    <col min="13579" max="13579" width="10.5703125" style="118" bestFit="1" customWidth="1"/>
    <col min="13580" max="13581" width="10.5703125" style="118" customWidth="1"/>
    <col min="13582" max="13582" width="13.5703125" style="118" customWidth="1"/>
    <col min="13583" max="13583" width="11.5703125" style="118" customWidth="1"/>
    <col min="13584" max="13584" width="21.7109375" style="118" customWidth="1"/>
    <col min="13585" max="13585" width="15.85546875" style="118" customWidth="1"/>
    <col min="13586" max="13586" width="16.85546875" style="118" customWidth="1"/>
    <col min="13587" max="13587" width="24.140625" style="118" bestFit="1" customWidth="1"/>
    <col min="13588" max="13590" width="9.140625" style="118"/>
    <col min="13591" max="13591" width="15.28515625" style="118" customWidth="1"/>
    <col min="13592" max="13592" width="13.28515625" style="118" customWidth="1"/>
    <col min="13593" max="13593" width="56.42578125" style="118" bestFit="1" customWidth="1"/>
    <col min="13594" max="13834" width="9.140625" style="118"/>
    <col min="13835" max="13835" width="10.5703125" style="118" bestFit="1" customWidth="1"/>
    <col min="13836" max="13837" width="10.5703125" style="118" customWidth="1"/>
    <col min="13838" max="13838" width="13.5703125" style="118" customWidth="1"/>
    <col min="13839" max="13839" width="11.5703125" style="118" customWidth="1"/>
    <col min="13840" max="13840" width="21.7109375" style="118" customWidth="1"/>
    <col min="13841" max="13841" width="15.85546875" style="118" customWidth="1"/>
    <col min="13842" max="13842" width="16.85546875" style="118" customWidth="1"/>
    <col min="13843" max="13843" width="24.140625" style="118" bestFit="1" customWidth="1"/>
    <col min="13844" max="13846" width="9.140625" style="118"/>
    <col min="13847" max="13847" width="15.28515625" style="118" customWidth="1"/>
    <col min="13848" max="13848" width="13.28515625" style="118" customWidth="1"/>
    <col min="13849" max="13849" width="56.42578125" style="118" bestFit="1" customWidth="1"/>
    <col min="13850" max="14090" width="9.140625" style="118"/>
    <col min="14091" max="14091" width="10.5703125" style="118" bestFit="1" customWidth="1"/>
    <col min="14092" max="14093" width="10.5703125" style="118" customWidth="1"/>
    <col min="14094" max="14094" width="13.5703125" style="118" customWidth="1"/>
    <col min="14095" max="14095" width="11.5703125" style="118" customWidth="1"/>
    <col min="14096" max="14096" width="21.7109375" style="118" customWidth="1"/>
    <col min="14097" max="14097" width="15.85546875" style="118" customWidth="1"/>
    <col min="14098" max="14098" width="16.85546875" style="118" customWidth="1"/>
    <col min="14099" max="14099" width="24.140625" style="118" bestFit="1" customWidth="1"/>
    <col min="14100" max="14102" width="9.140625" style="118"/>
    <col min="14103" max="14103" width="15.28515625" style="118" customWidth="1"/>
    <col min="14104" max="14104" width="13.28515625" style="118" customWidth="1"/>
    <col min="14105" max="14105" width="56.42578125" style="118" bestFit="1" customWidth="1"/>
    <col min="14106" max="14346" width="9.140625" style="118"/>
    <col min="14347" max="14347" width="10.5703125" style="118" bestFit="1" customWidth="1"/>
    <col min="14348" max="14349" width="10.5703125" style="118" customWidth="1"/>
    <col min="14350" max="14350" width="13.5703125" style="118" customWidth="1"/>
    <col min="14351" max="14351" width="11.5703125" style="118" customWidth="1"/>
    <col min="14352" max="14352" width="21.7109375" style="118" customWidth="1"/>
    <col min="14353" max="14353" width="15.85546875" style="118" customWidth="1"/>
    <col min="14354" max="14354" width="16.85546875" style="118" customWidth="1"/>
    <col min="14355" max="14355" width="24.140625" style="118" bestFit="1" customWidth="1"/>
    <col min="14356" max="14358" width="9.140625" style="118"/>
    <col min="14359" max="14359" width="15.28515625" style="118" customWidth="1"/>
    <col min="14360" max="14360" width="13.28515625" style="118" customWidth="1"/>
    <col min="14361" max="14361" width="56.42578125" style="118" bestFit="1" customWidth="1"/>
    <col min="14362" max="14602" width="9.140625" style="118"/>
    <col min="14603" max="14603" width="10.5703125" style="118" bestFit="1" customWidth="1"/>
    <col min="14604" max="14605" width="10.5703125" style="118" customWidth="1"/>
    <col min="14606" max="14606" width="13.5703125" style="118" customWidth="1"/>
    <col min="14607" max="14607" width="11.5703125" style="118" customWidth="1"/>
    <col min="14608" max="14608" width="21.7109375" style="118" customWidth="1"/>
    <col min="14609" max="14609" width="15.85546875" style="118" customWidth="1"/>
    <col min="14610" max="14610" width="16.85546875" style="118" customWidth="1"/>
    <col min="14611" max="14611" width="24.140625" style="118" bestFit="1" customWidth="1"/>
    <col min="14612" max="14614" width="9.140625" style="118"/>
    <col min="14615" max="14615" width="15.28515625" style="118" customWidth="1"/>
    <col min="14616" max="14616" width="13.28515625" style="118" customWidth="1"/>
    <col min="14617" max="14617" width="56.42578125" style="118" bestFit="1" customWidth="1"/>
    <col min="14618" max="14858" width="9.140625" style="118"/>
    <col min="14859" max="14859" width="10.5703125" style="118" bestFit="1" customWidth="1"/>
    <col min="14860" max="14861" width="10.5703125" style="118" customWidth="1"/>
    <col min="14862" max="14862" width="13.5703125" style="118" customWidth="1"/>
    <col min="14863" max="14863" width="11.5703125" style="118" customWidth="1"/>
    <col min="14864" max="14864" width="21.7109375" style="118" customWidth="1"/>
    <col min="14865" max="14865" width="15.85546875" style="118" customWidth="1"/>
    <col min="14866" max="14866" width="16.85546875" style="118" customWidth="1"/>
    <col min="14867" max="14867" width="24.140625" style="118" bestFit="1" customWidth="1"/>
    <col min="14868" max="14870" width="9.140625" style="118"/>
    <col min="14871" max="14871" width="15.28515625" style="118" customWidth="1"/>
    <col min="14872" max="14872" width="13.28515625" style="118" customWidth="1"/>
    <col min="14873" max="14873" width="56.42578125" style="118" bestFit="1" customWidth="1"/>
    <col min="14874" max="15114" width="9.140625" style="118"/>
    <col min="15115" max="15115" width="10.5703125" style="118" bestFit="1" customWidth="1"/>
    <col min="15116" max="15117" width="10.5703125" style="118" customWidth="1"/>
    <col min="15118" max="15118" width="13.5703125" style="118" customWidth="1"/>
    <col min="15119" max="15119" width="11.5703125" style="118" customWidth="1"/>
    <col min="15120" max="15120" width="21.7109375" style="118" customWidth="1"/>
    <col min="15121" max="15121" width="15.85546875" style="118" customWidth="1"/>
    <col min="15122" max="15122" width="16.85546875" style="118" customWidth="1"/>
    <col min="15123" max="15123" width="24.140625" style="118" bestFit="1" customWidth="1"/>
    <col min="15124" max="15126" width="9.140625" style="118"/>
    <col min="15127" max="15127" width="15.28515625" style="118" customWidth="1"/>
    <col min="15128" max="15128" width="13.28515625" style="118" customWidth="1"/>
    <col min="15129" max="15129" width="56.42578125" style="118" bestFit="1" customWidth="1"/>
    <col min="15130" max="15370" width="9.140625" style="118"/>
    <col min="15371" max="15371" width="10.5703125" style="118" bestFit="1" customWidth="1"/>
    <col min="15372" max="15373" width="10.5703125" style="118" customWidth="1"/>
    <col min="15374" max="15374" width="13.5703125" style="118" customWidth="1"/>
    <col min="15375" max="15375" width="11.5703125" style="118" customWidth="1"/>
    <col min="15376" max="15376" width="21.7109375" style="118" customWidth="1"/>
    <col min="15377" max="15377" width="15.85546875" style="118" customWidth="1"/>
    <col min="15378" max="15378" width="16.85546875" style="118" customWidth="1"/>
    <col min="15379" max="15379" width="24.140625" style="118" bestFit="1" customWidth="1"/>
    <col min="15380" max="15382" width="9.140625" style="118"/>
    <col min="15383" max="15383" width="15.28515625" style="118" customWidth="1"/>
    <col min="15384" max="15384" width="13.28515625" style="118" customWidth="1"/>
    <col min="15385" max="15385" width="56.42578125" style="118" bestFit="1" customWidth="1"/>
    <col min="15386" max="15626" width="9.140625" style="118"/>
    <col min="15627" max="15627" width="10.5703125" style="118" bestFit="1" customWidth="1"/>
    <col min="15628" max="15629" width="10.5703125" style="118" customWidth="1"/>
    <col min="15630" max="15630" width="13.5703125" style="118" customWidth="1"/>
    <col min="15631" max="15631" width="11.5703125" style="118" customWidth="1"/>
    <col min="15632" max="15632" width="21.7109375" style="118" customWidth="1"/>
    <col min="15633" max="15633" width="15.85546875" style="118" customWidth="1"/>
    <col min="15634" max="15634" width="16.85546875" style="118" customWidth="1"/>
    <col min="15635" max="15635" width="24.140625" style="118" bestFit="1" customWidth="1"/>
    <col min="15636" max="15638" width="9.140625" style="118"/>
    <col min="15639" max="15639" width="15.28515625" style="118" customWidth="1"/>
    <col min="15640" max="15640" width="13.28515625" style="118" customWidth="1"/>
    <col min="15641" max="15641" width="56.42578125" style="118" bestFit="1" customWidth="1"/>
    <col min="15642" max="15882" width="9.140625" style="118"/>
    <col min="15883" max="15883" width="10.5703125" style="118" bestFit="1" customWidth="1"/>
    <col min="15884" max="15885" width="10.5703125" style="118" customWidth="1"/>
    <col min="15886" max="15886" width="13.5703125" style="118" customWidth="1"/>
    <col min="15887" max="15887" width="11.5703125" style="118" customWidth="1"/>
    <col min="15888" max="15888" width="21.7109375" style="118" customWidth="1"/>
    <col min="15889" max="15889" width="15.85546875" style="118" customWidth="1"/>
    <col min="15890" max="15890" width="16.85546875" style="118" customWidth="1"/>
    <col min="15891" max="15891" width="24.140625" style="118" bestFit="1" customWidth="1"/>
    <col min="15892" max="15894" width="9.140625" style="118"/>
    <col min="15895" max="15895" width="15.28515625" style="118" customWidth="1"/>
    <col min="15896" max="15896" width="13.28515625" style="118" customWidth="1"/>
    <col min="15897" max="15897" width="56.42578125" style="118" bestFit="1" customWidth="1"/>
    <col min="15898" max="16138" width="9.140625" style="118"/>
    <col min="16139" max="16139" width="10.5703125" style="118" bestFit="1" customWidth="1"/>
    <col min="16140" max="16141" width="10.5703125" style="118" customWidth="1"/>
    <col min="16142" max="16142" width="13.5703125" style="118" customWidth="1"/>
    <col min="16143" max="16143" width="11.5703125" style="118" customWidth="1"/>
    <col min="16144" max="16144" width="21.7109375" style="118" customWidth="1"/>
    <col min="16145" max="16145" width="15.85546875" style="118" customWidth="1"/>
    <col min="16146" max="16146" width="16.85546875" style="118" customWidth="1"/>
    <col min="16147" max="16147" width="24.140625" style="118" bestFit="1" customWidth="1"/>
    <col min="16148" max="16150" width="9.140625" style="118"/>
    <col min="16151" max="16151" width="15.28515625" style="118" customWidth="1"/>
    <col min="16152" max="16152" width="13.28515625" style="118" customWidth="1"/>
    <col min="16153" max="16153" width="56.42578125" style="118" bestFit="1" customWidth="1"/>
    <col min="16154" max="16384" width="9.140625" style="118"/>
  </cols>
  <sheetData>
    <row r="1" spans="2:39" x14ac:dyDescent="0.25">
      <c r="B1" s="117">
        <v>43830</v>
      </c>
      <c r="L1" s="119" t="s">
        <v>291</v>
      </c>
      <c r="M1" s="119"/>
      <c r="N1" s="119"/>
      <c r="O1" s="119"/>
      <c r="P1" s="119">
        <v>15</v>
      </c>
    </row>
    <row r="2" spans="2:39" x14ac:dyDescent="0.25">
      <c r="L2" s="119" t="s">
        <v>292</v>
      </c>
      <c r="M2" s="119"/>
      <c r="N2" s="119"/>
      <c r="O2" s="119">
        <v>0.7</v>
      </c>
      <c r="P2" s="119" t="s">
        <v>293</v>
      </c>
      <c r="Q2" s="119"/>
      <c r="R2" s="119">
        <v>10</v>
      </c>
      <c r="S2" s="119" t="s">
        <v>294</v>
      </c>
    </row>
    <row r="6" spans="2:39" x14ac:dyDescent="0.25">
      <c r="B6" s="118" t="s">
        <v>207</v>
      </c>
      <c r="E6" s="120">
        <v>950</v>
      </c>
    </row>
    <row r="11" spans="2:39" x14ac:dyDescent="0.25">
      <c r="B11" s="118" t="s">
        <v>82</v>
      </c>
    </row>
    <row r="12" spans="2:39" x14ac:dyDescent="0.25">
      <c r="B12" s="118" t="s">
        <v>83</v>
      </c>
      <c r="I12" s="121">
        <v>6</v>
      </c>
    </row>
    <row r="13" spans="2:39" x14ac:dyDescent="0.25">
      <c r="B13" s="118" t="s">
        <v>84</v>
      </c>
      <c r="I13" s="121">
        <v>10</v>
      </c>
    </row>
    <row r="14" spans="2:39" ht="153.75" x14ac:dyDescent="0.25">
      <c r="B14" s="118" t="s">
        <v>5</v>
      </c>
      <c r="I14" s="121">
        <v>12.600000000000001</v>
      </c>
      <c r="K14" s="122" t="s">
        <v>82</v>
      </c>
      <c r="L14" s="122" t="s">
        <v>83</v>
      </c>
      <c r="M14" s="122" t="s">
        <v>84</v>
      </c>
      <c r="N14" s="122" t="s">
        <v>5</v>
      </c>
      <c r="O14" s="122" t="s">
        <v>6</v>
      </c>
      <c r="P14" s="122">
        <v>0</v>
      </c>
      <c r="Q14" s="122">
        <v>0</v>
      </c>
      <c r="R14" s="122">
        <v>0</v>
      </c>
      <c r="S14" s="122">
        <v>0</v>
      </c>
      <c r="T14" s="122" t="s">
        <v>82</v>
      </c>
      <c r="U14" s="122" t="s">
        <v>83</v>
      </c>
      <c r="V14" s="122" t="s">
        <v>84</v>
      </c>
      <c r="W14" s="122">
        <v>0</v>
      </c>
      <c r="X14" s="122" t="s">
        <v>5</v>
      </c>
      <c r="Y14" s="122">
        <v>0</v>
      </c>
      <c r="Z14" s="122">
        <v>0</v>
      </c>
      <c r="AA14" s="122">
        <v>0</v>
      </c>
      <c r="AB14" s="122" t="s">
        <v>6</v>
      </c>
    </row>
    <row r="15" spans="2:39" x14ac:dyDescent="0.25">
      <c r="B15" s="118" t="s">
        <v>6</v>
      </c>
      <c r="I15" s="121">
        <v>10</v>
      </c>
      <c r="K15" s="123"/>
      <c r="L15" s="123" t="s">
        <v>92</v>
      </c>
      <c r="M15" s="123" t="s">
        <v>95</v>
      </c>
      <c r="N15" s="123" t="s">
        <v>8</v>
      </c>
      <c r="O15" s="123" t="s">
        <v>9</v>
      </c>
      <c r="P15" s="123">
        <v>0</v>
      </c>
      <c r="Q15" s="123">
        <v>0</v>
      </c>
      <c r="R15" s="123">
        <v>0</v>
      </c>
      <c r="S15" s="123">
        <v>0</v>
      </c>
      <c r="T15" s="123"/>
      <c r="U15" s="123" t="s">
        <v>85</v>
      </c>
      <c r="V15" s="123" t="s">
        <v>85</v>
      </c>
      <c r="W15" s="123">
        <v>0</v>
      </c>
      <c r="X15" s="123" t="s">
        <v>370</v>
      </c>
      <c r="Y15" s="123">
        <v>0</v>
      </c>
      <c r="Z15" s="123">
        <v>0</v>
      </c>
      <c r="AA15" s="123">
        <v>0</v>
      </c>
      <c r="AB15" s="123" t="s">
        <v>370</v>
      </c>
      <c r="AM15" s="118" t="s">
        <v>371</v>
      </c>
    </row>
    <row r="16" spans="2:39" x14ac:dyDescent="0.25">
      <c r="B16" s="118">
        <v>0</v>
      </c>
      <c r="I16" s="121">
        <v>0</v>
      </c>
      <c r="K16" s="123"/>
      <c r="L16" s="123" t="s">
        <v>91</v>
      </c>
      <c r="M16" s="123" t="s">
        <v>96</v>
      </c>
      <c r="N16" s="123" t="s">
        <v>89</v>
      </c>
      <c r="O16" s="123" t="s">
        <v>10</v>
      </c>
      <c r="P16" s="123">
        <v>0</v>
      </c>
      <c r="Q16" s="123">
        <v>0</v>
      </c>
      <c r="R16" s="123">
        <v>0</v>
      </c>
      <c r="S16" s="123">
        <v>0</v>
      </c>
      <c r="T16" s="123"/>
      <c r="U16" s="123" t="s">
        <v>86</v>
      </c>
      <c r="V16" s="123" t="s">
        <v>86</v>
      </c>
      <c r="W16" s="123">
        <v>0</v>
      </c>
      <c r="X16" s="123" t="s">
        <v>372</v>
      </c>
      <c r="Y16" s="123">
        <v>0</v>
      </c>
      <c r="Z16" s="123">
        <v>0</v>
      </c>
      <c r="AA16" s="123">
        <v>0</v>
      </c>
      <c r="AB16" s="123" t="s">
        <v>372</v>
      </c>
      <c r="AM16" s="118" t="s">
        <v>441</v>
      </c>
    </row>
    <row r="17" spans="2:39" x14ac:dyDescent="0.25">
      <c r="B17" s="118">
        <v>0</v>
      </c>
      <c r="I17" s="121">
        <v>0</v>
      </c>
      <c r="K17" s="123"/>
      <c r="L17" s="123" t="s">
        <v>93</v>
      </c>
      <c r="M17" s="123" t="s">
        <v>93</v>
      </c>
      <c r="N17" s="123" t="s">
        <v>90</v>
      </c>
      <c r="O17" s="123" t="s">
        <v>373</v>
      </c>
      <c r="P17" s="123"/>
      <c r="Q17" s="123">
        <v>0</v>
      </c>
      <c r="R17" s="123">
        <v>0</v>
      </c>
      <c r="S17" s="123"/>
      <c r="T17" s="123"/>
      <c r="U17" s="123" t="s">
        <v>87</v>
      </c>
      <c r="V17" s="123" t="s">
        <v>87</v>
      </c>
      <c r="W17" s="123">
        <v>0</v>
      </c>
      <c r="X17" s="123" t="s">
        <v>374</v>
      </c>
      <c r="Y17" s="123">
        <v>0</v>
      </c>
      <c r="Z17" s="123">
        <v>0</v>
      </c>
      <c r="AA17" s="123">
        <v>0</v>
      </c>
      <c r="AB17" s="123" t="s">
        <v>374</v>
      </c>
      <c r="AM17" s="118" t="s">
        <v>375</v>
      </c>
    </row>
    <row r="18" spans="2:39" x14ac:dyDescent="0.25">
      <c r="B18" s="118">
        <v>0</v>
      </c>
      <c r="I18" s="121">
        <v>0</v>
      </c>
      <c r="K18" s="123"/>
      <c r="L18" s="123" t="s">
        <v>94</v>
      </c>
      <c r="M18" s="123" t="s">
        <v>94</v>
      </c>
      <c r="N18" s="123">
        <v>0</v>
      </c>
      <c r="O18" s="123" t="s">
        <v>376</v>
      </c>
      <c r="P18" s="123"/>
      <c r="Q18" s="123">
        <v>0</v>
      </c>
      <c r="R18" s="123"/>
      <c r="S18" s="123"/>
      <c r="T18" s="123"/>
      <c r="U18" s="123" t="s">
        <v>11</v>
      </c>
      <c r="V18" s="123" t="s">
        <v>11</v>
      </c>
      <c r="W18" s="123">
        <v>0</v>
      </c>
      <c r="X18" s="123" t="s">
        <v>377</v>
      </c>
      <c r="Y18" s="123">
        <v>0</v>
      </c>
      <c r="Z18" s="123">
        <v>0</v>
      </c>
      <c r="AA18" s="123">
        <v>0</v>
      </c>
      <c r="AB18" s="123" t="s">
        <v>377</v>
      </c>
      <c r="AM18" s="118" t="s">
        <v>378</v>
      </c>
    </row>
    <row r="19" spans="2:39" x14ac:dyDescent="0.25">
      <c r="B19" s="118">
        <v>0</v>
      </c>
      <c r="I19" s="121">
        <v>0</v>
      </c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 t="s">
        <v>88</v>
      </c>
      <c r="V19" s="123" t="s">
        <v>88</v>
      </c>
      <c r="W19" s="123">
        <v>0</v>
      </c>
      <c r="X19" s="123" t="s">
        <v>379</v>
      </c>
      <c r="Y19" s="123"/>
      <c r="Z19" s="123">
        <v>0</v>
      </c>
      <c r="AA19" s="123">
        <v>0</v>
      </c>
      <c r="AB19" s="123" t="s">
        <v>379</v>
      </c>
      <c r="AM19" s="118" t="s">
        <v>380</v>
      </c>
    </row>
    <row r="20" spans="2:39" x14ac:dyDescent="0.25">
      <c r="I20" s="124"/>
      <c r="K20" s="123"/>
      <c r="L20" s="123"/>
      <c r="M20" s="123"/>
      <c r="N20" s="123"/>
      <c r="O20" s="123">
        <v>0</v>
      </c>
      <c r="P20" s="123"/>
      <c r="Q20" s="123"/>
      <c r="R20" s="123"/>
      <c r="S20" s="123"/>
      <c r="T20" s="123"/>
      <c r="U20" s="123" t="s">
        <v>97</v>
      </c>
      <c r="V20" s="123" t="s">
        <v>97</v>
      </c>
      <c r="W20" s="123">
        <v>0</v>
      </c>
      <c r="X20" s="123">
        <v>0</v>
      </c>
      <c r="Y20" s="123"/>
      <c r="Z20" s="123">
        <v>0</v>
      </c>
      <c r="AA20" s="123">
        <v>0</v>
      </c>
      <c r="AB20" s="123">
        <v>0</v>
      </c>
      <c r="AM20" s="118" t="s">
        <v>434</v>
      </c>
    </row>
    <row r="21" spans="2:39" x14ac:dyDescent="0.25">
      <c r="I21" s="121"/>
      <c r="K21" s="123"/>
      <c r="L21" s="123"/>
      <c r="M21" s="123"/>
      <c r="N21" s="123"/>
      <c r="O21" s="123">
        <v>0</v>
      </c>
      <c r="P21" s="123"/>
      <c r="Q21" s="123"/>
      <c r="R21" s="123"/>
      <c r="S21" s="123"/>
      <c r="T21" s="123"/>
      <c r="U21" s="123" t="s">
        <v>381</v>
      </c>
      <c r="V21" s="123" t="s">
        <v>381</v>
      </c>
      <c r="W21" s="123">
        <v>0</v>
      </c>
      <c r="X21" s="123" t="s">
        <v>382</v>
      </c>
      <c r="Y21" s="123"/>
      <c r="Z21" s="123">
        <v>0</v>
      </c>
      <c r="AA21" s="123">
        <v>0</v>
      </c>
      <c r="AB21" s="123" t="s">
        <v>383</v>
      </c>
      <c r="AM21" s="118" t="s">
        <v>384</v>
      </c>
    </row>
    <row r="22" spans="2:39" x14ac:dyDescent="0.25">
      <c r="K22" s="123"/>
      <c r="L22" s="123"/>
      <c r="M22" s="123" t="s">
        <v>385</v>
      </c>
      <c r="N22" s="123"/>
      <c r="O22" s="123"/>
      <c r="P22" s="123"/>
      <c r="Q22" s="123"/>
      <c r="R22" s="123"/>
      <c r="S22" s="123"/>
      <c r="T22" s="123"/>
      <c r="U22" s="123" t="s">
        <v>347</v>
      </c>
      <c r="V22" s="123" t="s">
        <v>347</v>
      </c>
      <c r="W22" s="123">
        <v>0</v>
      </c>
      <c r="X22" s="123" t="s">
        <v>386</v>
      </c>
      <c r="Y22" s="123"/>
      <c r="Z22" s="123">
        <v>0</v>
      </c>
      <c r="AA22" s="123">
        <v>0</v>
      </c>
      <c r="AB22" s="123" t="s">
        <v>346</v>
      </c>
      <c r="AM22" s="118" t="s">
        <v>387</v>
      </c>
    </row>
    <row r="23" spans="2:39" x14ac:dyDescent="0.25">
      <c r="B23" s="118" t="s">
        <v>348</v>
      </c>
      <c r="I23" s="121">
        <v>0</v>
      </c>
      <c r="K23" s="123"/>
      <c r="L23" s="123"/>
      <c r="M23" s="123" t="s">
        <v>388</v>
      </c>
      <c r="N23" s="123"/>
      <c r="O23" s="123"/>
      <c r="P23" s="123"/>
      <c r="Q23" s="123"/>
      <c r="R23" s="123"/>
      <c r="S23" s="123"/>
      <c r="T23" s="123"/>
      <c r="U23" s="123" t="s">
        <v>6</v>
      </c>
      <c r="V23" s="123" t="s">
        <v>6</v>
      </c>
      <c r="W23" s="123">
        <v>0</v>
      </c>
      <c r="X23" s="123" t="s">
        <v>389</v>
      </c>
      <c r="Y23" s="123"/>
      <c r="Z23" s="123">
        <v>0</v>
      </c>
      <c r="AA23" s="123">
        <v>0</v>
      </c>
      <c r="AB23" s="123" t="s">
        <v>12</v>
      </c>
      <c r="AM23" s="118" t="s">
        <v>390</v>
      </c>
    </row>
    <row r="24" spans="2:39" x14ac:dyDescent="0.25">
      <c r="B24" s="118" t="s">
        <v>22</v>
      </c>
      <c r="I24" s="121">
        <v>3.25</v>
      </c>
      <c r="K24" s="123"/>
      <c r="L24" s="123"/>
      <c r="M24" s="123" t="s">
        <v>391</v>
      </c>
      <c r="N24" s="123"/>
      <c r="O24" s="123"/>
      <c r="P24" s="123"/>
      <c r="Q24" s="123"/>
      <c r="R24" s="123"/>
      <c r="S24" s="123"/>
      <c r="T24" s="123"/>
      <c r="U24" s="123" t="s">
        <v>349</v>
      </c>
      <c r="V24" s="123" t="s">
        <v>349</v>
      </c>
      <c r="W24" s="123">
        <v>0</v>
      </c>
      <c r="X24" s="123" t="s">
        <v>392</v>
      </c>
      <c r="Y24" s="123"/>
      <c r="Z24" s="123">
        <v>0</v>
      </c>
      <c r="AA24" s="123">
        <v>0</v>
      </c>
      <c r="AB24" s="123">
        <v>0</v>
      </c>
      <c r="AM24" s="118" t="s">
        <v>393</v>
      </c>
    </row>
    <row r="25" spans="2:39" x14ac:dyDescent="0.25">
      <c r="B25" s="118" t="s">
        <v>24</v>
      </c>
      <c r="I25" s="121">
        <v>7</v>
      </c>
      <c r="K25" s="123"/>
      <c r="L25" s="123"/>
      <c r="M25" s="123" t="s">
        <v>394</v>
      </c>
      <c r="N25" s="123"/>
      <c r="O25" s="123"/>
      <c r="P25" s="123"/>
      <c r="Q25" s="123"/>
      <c r="R25" s="123"/>
      <c r="S25" s="123"/>
      <c r="T25" s="123"/>
      <c r="U25" s="123" t="s">
        <v>395</v>
      </c>
      <c r="V25" s="123" t="s">
        <v>395</v>
      </c>
      <c r="W25" s="123">
        <v>0</v>
      </c>
      <c r="X25" s="123" t="s">
        <v>396</v>
      </c>
      <c r="Y25" s="123"/>
      <c r="Z25" s="123">
        <v>0</v>
      </c>
      <c r="AA25" s="123">
        <v>0</v>
      </c>
      <c r="AB25" s="123"/>
      <c r="AM25" s="118" t="s">
        <v>436</v>
      </c>
    </row>
    <row r="26" spans="2:39" x14ac:dyDescent="0.25">
      <c r="K26" s="123"/>
      <c r="L26" s="123"/>
      <c r="M26" s="123" t="s">
        <v>397</v>
      </c>
      <c r="N26" s="123"/>
      <c r="O26" s="123"/>
      <c r="P26" s="123"/>
      <c r="Q26" s="123"/>
      <c r="R26" s="123"/>
      <c r="S26" s="123"/>
      <c r="T26" s="123"/>
      <c r="U26" s="123" t="s">
        <v>398</v>
      </c>
      <c r="V26" s="123" t="s">
        <v>398</v>
      </c>
      <c r="W26" s="123">
        <v>0</v>
      </c>
      <c r="X26" s="123">
        <v>0</v>
      </c>
      <c r="Y26" s="123"/>
      <c r="Z26" s="123">
        <v>0</v>
      </c>
      <c r="AA26" s="123">
        <v>0</v>
      </c>
      <c r="AB26" s="123"/>
      <c r="AM26" s="118" t="s">
        <v>437</v>
      </c>
    </row>
    <row r="27" spans="2:39" x14ac:dyDescent="0.25">
      <c r="K27" s="123"/>
      <c r="L27" s="123"/>
      <c r="M27" s="123" t="s">
        <v>399</v>
      </c>
      <c r="N27" s="123"/>
      <c r="O27" s="123"/>
      <c r="P27" s="123"/>
      <c r="Q27" s="123"/>
      <c r="R27" s="123"/>
      <c r="S27" s="123"/>
      <c r="T27" s="123"/>
      <c r="U27" s="123" t="s">
        <v>400</v>
      </c>
      <c r="V27" s="123" t="s">
        <v>400</v>
      </c>
      <c r="W27" s="123">
        <v>0</v>
      </c>
      <c r="X27" s="123" t="s">
        <v>401</v>
      </c>
      <c r="Y27" s="123"/>
      <c r="Z27" s="123">
        <v>0</v>
      </c>
      <c r="AA27" s="123">
        <v>0</v>
      </c>
      <c r="AB27" s="123"/>
      <c r="AM27" s="118" t="s">
        <v>402</v>
      </c>
    </row>
    <row r="28" spans="2:39" x14ac:dyDescent="0.25">
      <c r="K28" s="123"/>
      <c r="L28" s="123"/>
      <c r="M28" s="123" t="s">
        <v>403</v>
      </c>
      <c r="N28" s="123"/>
      <c r="O28" s="123"/>
      <c r="P28" s="123"/>
      <c r="Q28" s="123"/>
      <c r="R28" s="123"/>
      <c r="S28" s="123"/>
      <c r="T28" s="123"/>
      <c r="U28" s="123" t="s">
        <v>404</v>
      </c>
      <c r="V28" s="123" t="s">
        <v>404</v>
      </c>
      <c r="W28" s="123">
        <v>0</v>
      </c>
      <c r="X28" s="123" t="s">
        <v>405</v>
      </c>
      <c r="Y28" s="123"/>
      <c r="Z28" s="123">
        <v>0</v>
      </c>
      <c r="AA28" s="123">
        <v>0</v>
      </c>
      <c r="AB28" s="123"/>
      <c r="AM28" s="118" t="s">
        <v>406</v>
      </c>
    </row>
    <row r="29" spans="2:39" x14ac:dyDescent="0.25">
      <c r="M29" s="118" t="s">
        <v>407</v>
      </c>
      <c r="AM29" s="118" t="s">
        <v>438</v>
      </c>
    </row>
    <row r="30" spans="2:39" x14ac:dyDescent="0.25">
      <c r="B30" s="118" t="s">
        <v>28</v>
      </c>
      <c r="I30" s="121">
        <v>16.5</v>
      </c>
      <c r="M30" s="118" t="s">
        <v>408</v>
      </c>
      <c r="AM30" s="118" t="s">
        <v>409</v>
      </c>
    </row>
    <row r="31" spans="2:39" x14ac:dyDescent="0.25">
      <c r="B31" s="118" t="s">
        <v>30</v>
      </c>
      <c r="I31" s="121">
        <v>2.5</v>
      </c>
      <c r="M31" s="118" t="s">
        <v>410</v>
      </c>
      <c r="AM31" s="118" t="s">
        <v>411</v>
      </c>
    </row>
    <row r="32" spans="2:39" x14ac:dyDescent="0.25">
      <c r="I32" s="124"/>
      <c r="M32" s="118" t="s">
        <v>412</v>
      </c>
      <c r="AM32" s="118" t="s">
        <v>413</v>
      </c>
    </row>
    <row r="33" spans="2:39" x14ac:dyDescent="0.25">
      <c r="I33" s="124"/>
      <c r="M33" s="118" t="s">
        <v>414</v>
      </c>
      <c r="AM33" s="118" t="s">
        <v>415</v>
      </c>
    </row>
    <row r="34" spans="2:39" x14ac:dyDescent="0.25">
      <c r="B34" s="118" t="s">
        <v>32</v>
      </c>
      <c r="I34" s="121">
        <v>6</v>
      </c>
      <c r="AM34" s="118" t="s">
        <v>416</v>
      </c>
    </row>
    <row r="35" spans="2:39" x14ac:dyDescent="0.25">
      <c r="B35" s="118" t="s">
        <v>0</v>
      </c>
      <c r="I35" s="121">
        <v>6</v>
      </c>
      <c r="AM35" s="118" t="s">
        <v>103</v>
      </c>
    </row>
    <row r="36" spans="2:39" x14ac:dyDescent="0.25">
      <c r="B36" s="118" t="s">
        <v>1</v>
      </c>
      <c r="I36" s="121">
        <v>6</v>
      </c>
      <c r="AM36" s="118" t="s">
        <v>104</v>
      </c>
    </row>
    <row r="37" spans="2:39" x14ac:dyDescent="0.25">
      <c r="B37" s="118" t="s">
        <v>2</v>
      </c>
      <c r="I37" s="121">
        <v>6</v>
      </c>
      <c r="AM37" s="118" t="s">
        <v>23</v>
      </c>
    </row>
    <row r="38" spans="2:39" x14ac:dyDescent="0.25">
      <c r="B38" s="118" t="s">
        <v>3</v>
      </c>
      <c r="I38" s="121">
        <v>6</v>
      </c>
      <c r="AM38" s="118" t="s">
        <v>433</v>
      </c>
    </row>
    <row r="39" spans="2:39" x14ac:dyDescent="0.25">
      <c r="B39" s="118" t="s">
        <v>4</v>
      </c>
      <c r="I39" s="121">
        <v>6</v>
      </c>
      <c r="AM39" s="118" t="s">
        <v>439</v>
      </c>
    </row>
    <row r="40" spans="2:39" x14ac:dyDescent="0.25">
      <c r="B40" s="118" t="s">
        <v>7</v>
      </c>
      <c r="I40" s="121">
        <v>6</v>
      </c>
      <c r="AM40" s="118" t="s">
        <v>440</v>
      </c>
    </row>
    <row r="41" spans="2:39" x14ac:dyDescent="0.25">
      <c r="B41" s="118" t="s">
        <v>11</v>
      </c>
      <c r="I41" s="121">
        <v>6</v>
      </c>
      <c r="AM41" s="118" t="s">
        <v>417</v>
      </c>
    </row>
    <row r="42" spans="2:39" x14ac:dyDescent="0.25">
      <c r="B42" s="118" t="s">
        <v>14</v>
      </c>
      <c r="I42" s="121">
        <v>6</v>
      </c>
      <c r="AM42" s="118" t="s">
        <v>418</v>
      </c>
    </row>
    <row r="43" spans="2:39" x14ac:dyDescent="0.25">
      <c r="I43" s="124"/>
      <c r="AM43" s="118" t="s">
        <v>419</v>
      </c>
    </row>
    <row r="44" spans="2:39" x14ac:dyDescent="0.25">
      <c r="B44" s="118" t="s">
        <v>100</v>
      </c>
      <c r="AM44" s="118" t="s">
        <v>420</v>
      </c>
    </row>
    <row r="45" spans="2:39" x14ac:dyDescent="0.25">
      <c r="B45" s="118" t="s">
        <v>34</v>
      </c>
      <c r="I45" s="121" t="s">
        <v>35</v>
      </c>
      <c r="AM45" s="118" t="s">
        <v>421</v>
      </c>
    </row>
    <row r="46" spans="2:39" x14ac:dyDescent="0.25">
      <c r="B46" s="118" t="s">
        <v>37</v>
      </c>
      <c r="I46" s="121">
        <v>1.6</v>
      </c>
    </row>
    <row r="47" spans="2:39" x14ac:dyDescent="0.25">
      <c r="B47" s="118" t="s">
        <v>31</v>
      </c>
      <c r="I47" s="121" t="s">
        <v>422</v>
      </c>
    </row>
    <row r="48" spans="2:39" x14ac:dyDescent="0.25">
      <c r="B48" s="118" t="s">
        <v>33</v>
      </c>
      <c r="I48" s="121" t="s">
        <v>422</v>
      </c>
    </row>
    <row r="49" spans="2:9" x14ac:dyDescent="0.25">
      <c r="B49" s="118" t="s">
        <v>36</v>
      </c>
      <c r="I49" s="121">
        <v>1.6</v>
      </c>
    </row>
    <row r="50" spans="2:9" x14ac:dyDescent="0.25">
      <c r="B50" s="118" t="s">
        <v>38</v>
      </c>
      <c r="I50" s="121" t="s">
        <v>422</v>
      </c>
    </row>
    <row r="51" spans="2:9" x14ac:dyDescent="0.25">
      <c r="B51" s="118" t="s">
        <v>98</v>
      </c>
      <c r="I51" s="121">
        <v>4</v>
      </c>
    </row>
    <row r="52" spans="2:9" x14ac:dyDescent="0.25">
      <c r="B52" s="118" t="s">
        <v>99</v>
      </c>
      <c r="I52" s="121">
        <v>4</v>
      </c>
    </row>
    <row r="53" spans="2:9" x14ac:dyDescent="0.25">
      <c r="B53" s="118" t="s">
        <v>315</v>
      </c>
      <c r="I53" s="121">
        <v>6</v>
      </c>
    </row>
    <row r="58" spans="2:9" x14ac:dyDescent="0.25">
      <c r="B58" s="118" t="s">
        <v>115</v>
      </c>
      <c r="E58" s="118" t="s">
        <v>113</v>
      </c>
      <c r="H58" s="118" t="s">
        <v>114</v>
      </c>
    </row>
    <row r="59" spans="2:9" x14ac:dyDescent="0.25">
      <c r="B59" s="118" t="s">
        <v>116</v>
      </c>
      <c r="E59" s="118" t="s">
        <v>116</v>
      </c>
      <c r="H59" s="118" t="s">
        <v>116</v>
      </c>
    </row>
    <row r="60" spans="2:9" x14ac:dyDescent="0.25">
      <c r="B60" s="118" t="s">
        <v>101</v>
      </c>
      <c r="E60" s="118" t="s">
        <v>105</v>
      </c>
      <c r="H60" s="118" t="s">
        <v>109</v>
      </c>
    </row>
    <row r="61" spans="2:9" x14ac:dyDescent="0.25">
      <c r="B61" s="118" t="s">
        <v>102</v>
      </c>
      <c r="E61" s="118" t="s">
        <v>106</v>
      </c>
      <c r="H61" s="118" t="s">
        <v>110</v>
      </c>
    </row>
    <row r="62" spans="2:9" x14ac:dyDescent="0.25">
      <c r="B62" s="118" t="s">
        <v>103</v>
      </c>
      <c r="E62" s="118" t="s">
        <v>107</v>
      </c>
      <c r="H62" s="118" t="s">
        <v>111</v>
      </c>
    </row>
    <row r="63" spans="2:9" x14ac:dyDescent="0.25">
      <c r="B63" s="118" t="s">
        <v>104</v>
      </c>
      <c r="E63" s="118" t="s">
        <v>108</v>
      </c>
      <c r="H63" s="118" t="s">
        <v>112</v>
      </c>
    </row>
    <row r="64" spans="2:9" x14ac:dyDescent="0.25">
      <c r="B64" s="118" t="s">
        <v>350</v>
      </c>
      <c r="H64" s="118" t="s">
        <v>351</v>
      </c>
    </row>
    <row r="69" spans="3:3" x14ac:dyDescent="0.25">
      <c r="C69" s="118" t="s">
        <v>295</v>
      </c>
    </row>
    <row r="70" spans="3:3" x14ac:dyDescent="0.25">
      <c r="C70" s="118" t="s">
        <v>13</v>
      </c>
    </row>
    <row r="71" spans="3:3" x14ac:dyDescent="0.25">
      <c r="C71" s="118" t="s">
        <v>15</v>
      </c>
    </row>
    <row r="72" spans="3:3" x14ac:dyDescent="0.25">
      <c r="C72" s="118" t="s">
        <v>16</v>
      </c>
    </row>
    <row r="73" spans="3:3" x14ac:dyDescent="0.25">
      <c r="C73" s="118" t="s">
        <v>17</v>
      </c>
    </row>
    <row r="74" spans="3:3" x14ac:dyDescent="0.25">
      <c r="C74" s="118" t="s">
        <v>18</v>
      </c>
    </row>
    <row r="75" spans="3:3" x14ac:dyDescent="0.25">
      <c r="C75" s="118" t="s">
        <v>19</v>
      </c>
    </row>
    <row r="76" spans="3:3" x14ac:dyDescent="0.25">
      <c r="C76" s="118" t="s">
        <v>20</v>
      </c>
    </row>
    <row r="77" spans="3:3" x14ac:dyDescent="0.25">
      <c r="C77" s="118" t="s">
        <v>21</v>
      </c>
    </row>
    <row r="78" spans="3:3" x14ac:dyDescent="0.25">
      <c r="C78" s="118" t="s">
        <v>23</v>
      </c>
    </row>
    <row r="79" spans="3:3" x14ac:dyDescent="0.25">
      <c r="C79" s="118" t="s">
        <v>25</v>
      </c>
    </row>
    <row r="80" spans="3:3" x14ac:dyDescent="0.25">
      <c r="C80" s="118" t="s">
        <v>26</v>
      </c>
    </row>
    <row r="81" spans="2:7" x14ac:dyDescent="0.25">
      <c r="C81" s="118" t="s">
        <v>27</v>
      </c>
    </row>
    <row r="82" spans="2:7" x14ac:dyDescent="0.25">
      <c r="C82" s="118" t="s">
        <v>29</v>
      </c>
    </row>
    <row r="85" spans="2:7" x14ac:dyDescent="0.25">
      <c r="B85" s="118" t="s">
        <v>125</v>
      </c>
      <c r="G85" s="118" t="s">
        <v>129</v>
      </c>
    </row>
    <row r="86" spans="2:7" x14ac:dyDescent="0.25">
      <c r="B86" s="118" t="s">
        <v>126</v>
      </c>
      <c r="G86" s="118" t="s">
        <v>129</v>
      </c>
    </row>
    <row r="87" spans="2:7" x14ac:dyDescent="0.25">
      <c r="B87" s="118" t="s">
        <v>127</v>
      </c>
      <c r="G87" s="118" t="s">
        <v>129</v>
      </c>
    </row>
    <row r="88" spans="2:7" x14ac:dyDescent="0.25">
      <c r="B88" s="118" t="s">
        <v>128</v>
      </c>
      <c r="G88" s="125">
        <v>1</v>
      </c>
    </row>
    <row r="97" spans="1:8" x14ac:dyDescent="0.25">
      <c r="A97" s="118">
        <v>1</v>
      </c>
      <c r="B97" s="118" t="s">
        <v>133</v>
      </c>
      <c r="D97" s="118">
        <v>1</v>
      </c>
      <c r="E97" s="118" t="s">
        <v>135</v>
      </c>
      <c r="G97" s="118">
        <v>1</v>
      </c>
      <c r="H97" s="118" t="s">
        <v>136</v>
      </c>
    </row>
    <row r="98" spans="1:8" x14ac:dyDescent="0.25">
      <c r="A98" s="118">
        <v>2</v>
      </c>
      <c r="B98" s="118" t="s">
        <v>52</v>
      </c>
      <c r="D98" s="118">
        <v>2</v>
      </c>
      <c r="E98" s="118" t="s">
        <v>137</v>
      </c>
      <c r="G98" s="118">
        <v>2</v>
      </c>
      <c r="H98" s="118" t="s">
        <v>43</v>
      </c>
    </row>
    <row r="99" spans="1:8" x14ac:dyDescent="0.25">
      <c r="A99" s="118">
        <v>3</v>
      </c>
      <c r="B99" s="118" t="s">
        <v>53</v>
      </c>
      <c r="D99" s="118">
        <v>3</v>
      </c>
      <c r="E99" s="118" t="s">
        <v>41</v>
      </c>
      <c r="G99" s="118">
        <v>3</v>
      </c>
      <c r="H99" s="118" t="s">
        <v>44</v>
      </c>
    </row>
    <row r="100" spans="1:8" x14ac:dyDescent="0.25">
      <c r="A100" s="118">
        <v>4</v>
      </c>
      <c r="B100" s="118" t="s">
        <v>54</v>
      </c>
      <c r="D100" s="118">
        <v>4</v>
      </c>
      <c r="E100" s="118" t="s">
        <v>40</v>
      </c>
      <c r="G100" s="118">
        <v>4</v>
      </c>
      <c r="H100" s="118" t="s">
        <v>45</v>
      </c>
    </row>
    <row r="101" spans="1:8" x14ac:dyDescent="0.25">
      <c r="A101" s="118">
        <v>5</v>
      </c>
      <c r="B101" s="119" t="s">
        <v>304</v>
      </c>
      <c r="D101" s="118">
        <v>5</v>
      </c>
      <c r="E101" s="118" t="s">
        <v>46</v>
      </c>
    </row>
    <row r="102" spans="1:8" x14ac:dyDescent="0.25">
      <c r="A102" s="118">
        <v>6</v>
      </c>
      <c r="B102" s="118" t="s">
        <v>55</v>
      </c>
      <c r="D102" s="118">
        <v>6</v>
      </c>
      <c r="E102" s="118" t="s">
        <v>47</v>
      </c>
    </row>
    <row r="103" spans="1:8" x14ac:dyDescent="0.25">
      <c r="A103" s="118">
        <v>7</v>
      </c>
      <c r="B103" s="118" t="s">
        <v>56</v>
      </c>
      <c r="D103" s="118">
        <v>7</v>
      </c>
      <c r="E103" s="118" t="s">
        <v>48</v>
      </c>
    </row>
    <row r="104" spans="1:8" x14ac:dyDescent="0.25">
      <c r="A104" s="118">
        <v>8</v>
      </c>
      <c r="B104" s="118" t="s">
        <v>42</v>
      </c>
      <c r="D104" s="118">
        <v>8</v>
      </c>
      <c r="E104" s="118" t="s">
        <v>49</v>
      </c>
    </row>
    <row r="105" spans="1:8" x14ac:dyDescent="0.25">
      <c r="A105" s="118">
        <v>9</v>
      </c>
      <c r="B105" s="118" t="s">
        <v>57</v>
      </c>
      <c r="D105" s="118">
        <v>9</v>
      </c>
      <c r="E105" s="118" t="s">
        <v>50</v>
      </c>
    </row>
    <row r="106" spans="1:8" x14ac:dyDescent="0.25">
      <c r="A106" s="118">
        <v>10</v>
      </c>
      <c r="B106" s="118" t="s">
        <v>58</v>
      </c>
      <c r="D106" s="118">
        <v>10</v>
      </c>
      <c r="E106" s="118" t="s">
        <v>51</v>
      </c>
    </row>
    <row r="107" spans="1:8" x14ac:dyDescent="0.25">
      <c r="A107" s="118">
        <v>11</v>
      </c>
      <c r="B107" s="118" t="s">
        <v>59</v>
      </c>
    </row>
    <row r="108" spans="1:8" x14ac:dyDescent="0.25">
      <c r="A108" s="118">
        <v>12</v>
      </c>
      <c r="B108" s="118" t="s">
        <v>60</v>
      </c>
    </row>
    <row r="109" spans="1:8" x14ac:dyDescent="0.25">
      <c r="A109" s="118">
        <v>13</v>
      </c>
      <c r="B109" s="118" t="s">
        <v>61</v>
      </c>
    </row>
    <row r="110" spans="1:8" x14ac:dyDescent="0.25">
      <c r="A110" s="118">
        <v>14</v>
      </c>
      <c r="B110" s="118" t="s">
        <v>62</v>
      </c>
    </row>
    <row r="111" spans="1:8" x14ac:dyDescent="0.25">
      <c r="A111" s="118">
        <v>15</v>
      </c>
      <c r="B111" s="118" t="s">
        <v>63</v>
      </c>
    </row>
    <row r="112" spans="1:8" x14ac:dyDescent="0.25">
      <c r="A112" s="118">
        <v>16</v>
      </c>
      <c r="B112" s="118" t="s">
        <v>64</v>
      </c>
    </row>
    <row r="113" spans="1:13" x14ac:dyDescent="0.25">
      <c r="A113" s="118">
        <v>17</v>
      </c>
      <c r="B113" s="118" t="s">
        <v>65</v>
      </c>
    </row>
    <row r="114" spans="1:13" ht="21" x14ac:dyDescent="0.35">
      <c r="A114" s="118">
        <v>18</v>
      </c>
      <c r="B114" s="118" t="s">
        <v>66</v>
      </c>
      <c r="F114" s="126" t="s">
        <v>345</v>
      </c>
      <c r="G114" s="126"/>
      <c r="H114" s="126"/>
      <c r="I114" s="126"/>
    </row>
    <row r="115" spans="1:13" ht="21" x14ac:dyDescent="0.35">
      <c r="A115" s="118">
        <v>19</v>
      </c>
      <c r="B115" s="118" t="s">
        <v>67</v>
      </c>
      <c r="F115" s="126"/>
    </row>
    <row r="116" spans="1:13" ht="15.75" thickBot="1" x14ac:dyDescent="0.3">
      <c r="A116" s="118">
        <v>20</v>
      </c>
      <c r="B116" s="118" t="s">
        <v>68</v>
      </c>
    </row>
    <row r="117" spans="1:13" x14ac:dyDescent="0.25">
      <c r="B117" s="127" t="s">
        <v>139</v>
      </c>
      <c r="C117" s="128"/>
      <c r="D117" s="128"/>
      <c r="E117" s="128" t="s">
        <v>140</v>
      </c>
      <c r="F117" s="128"/>
      <c r="G117" s="128"/>
      <c r="H117" s="128" t="s">
        <v>140</v>
      </c>
      <c r="I117" s="129"/>
    </row>
    <row r="118" spans="1:13" x14ac:dyDescent="0.25">
      <c r="B118" s="130">
        <v>31</v>
      </c>
      <c r="C118" s="131"/>
      <c r="D118" s="131"/>
      <c r="E118" s="130">
        <v>5</v>
      </c>
      <c r="F118" s="131"/>
      <c r="G118" s="131"/>
      <c r="H118" s="130">
        <v>8.5</v>
      </c>
      <c r="I118" s="132"/>
    </row>
    <row r="119" spans="1:13" ht="15.75" thickBot="1" x14ac:dyDescent="0.3">
      <c r="B119" s="133" t="s">
        <v>130</v>
      </c>
      <c r="C119" s="134"/>
      <c r="D119" s="134"/>
      <c r="E119" s="134" t="s">
        <v>131</v>
      </c>
      <c r="F119" s="134"/>
      <c r="G119" s="134"/>
      <c r="H119" s="134" t="s">
        <v>132</v>
      </c>
      <c r="I119" s="135"/>
    </row>
    <row r="124" spans="1:13" x14ac:dyDescent="0.25">
      <c r="B124" s="118" t="s">
        <v>301</v>
      </c>
      <c r="M124" s="125">
        <v>2.8</v>
      </c>
    </row>
    <row r="125" spans="1:13" x14ac:dyDescent="0.25">
      <c r="B125" s="118" t="s">
        <v>352</v>
      </c>
      <c r="M125" s="125">
        <v>7</v>
      </c>
    </row>
    <row r="126" spans="1:13" x14ac:dyDescent="0.25">
      <c r="M126" s="125"/>
    </row>
    <row r="128" spans="1:13" x14ac:dyDescent="0.25">
      <c r="B128" s="136" t="s">
        <v>423</v>
      </c>
      <c r="C128" s="137"/>
      <c r="D128" s="137"/>
      <c r="E128" s="137"/>
      <c r="F128" s="137"/>
      <c r="G128" s="137"/>
      <c r="H128" s="137"/>
      <c r="I128" s="125">
        <v>1</v>
      </c>
      <c r="K128" s="118">
        <v>0</v>
      </c>
    </row>
    <row r="129" spans="2:14" x14ac:dyDescent="0.25">
      <c r="B129" s="136"/>
      <c r="C129" s="137"/>
      <c r="D129" s="137"/>
      <c r="E129" s="137"/>
      <c r="F129" s="137"/>
      <c r="G129" s="137"/>
      <c r="H129" s="137"/>
      <c r="I129" s="125"/>
      <c r="K129" s="118">
        <v>0</v>
      </c>
    </row>
    <row r="130" spans="2:14" x14ac:dyDescent="0.25">
      <c r="B130" s="136" t="s">
        <v>155</v>
      </c>
      <c r="C130" s="137"/>
      <c r="D130" s="137"/>
      <c r="E130" s="137"/>
      <c r="F130" s="137"/>
      <c r="G130" s="137"/>
      <c r="H130" s="137"/>
      <c r="I130" s="125"/>
      <c r="K130" s="118">
        <v>0</v>
      </c>
    </row>
    <row r="131" spans="2:14" x14ac:dyDescent="0.25">
      <c r="B131" s="136" t="s">
        <v>305</v>
      </c>
      <c r="C131" s="137"/>
      <c r="D131" s="137"/>
      <c r="E131" s="137"/>
      <c r="F131" s="137"/>
      <c r="G131" s="137"/>
      <c r="H131" s="137"/>
      <c r="I131" s="125">
        <v>5.3</v>
      </c>
    </row>
    <row r="132" spans="2:14" x14ac:dyDescent="0.25">
      <c r="B132" s="136" t="s">
        <v>424</v>
      </c>
      <c r="C132" s="137"/>
      <c r="D132" s="137"/>
      <c r="E132" s="137"/>
      <c r="F132" s="137"/>
      <c r="G132" s="137"/>
      <c r="H132" s="137"/>
      <c r="I132" s="125">
        <v>3.9</v>
      </c>
      <c r="K132" s="118" t="s">
        <v>425</v>
      </c>
      <c r="L132" s="118" t="s">
        <v>426</v>
      </c>
      <c r="M132" s="118" t="s">
        <v>427</v>
      </c>
      <c r="N132" s="118" t="s">
        <v>428</v>
      </c>
    </row>
    <row r="133" spans="2:14" x14ac:dyDescent="0.25">
      <c r="B133" s="136" t="s">
        <v>353</v>
      </c>
      <c r="C133" s="137"/>
      <c r="D133" s="137"/>
      <c r="E133" s="137"/>
      <c r="F133" s="137"/>
      <c r="G133" s="137"/>
      <c r="H133" s="137"/>
      <c r="I133" s="125">
        <v>3.9</v>
      </c>
      <c r="K133" s="118" t="s">
        <v>354</v>
      </c>
    </row>
    <row r="134" spans="2:14" x14ac:dyDescent="0.25">
      <c r="B134" s="136" t="s">
        <v>71</v>
      </c>
      <c r="C134" s="137"/>
      <c r="D134" s="137"/>
      <c r="E134" s="137"/>
      <c r="F134" s="137"/>
      <c r="G134" s="137"/>
      <c r="H134" s="137"/>
      <c r="I134" s="125">
        <v>3.9</v>
      </c>
      <c r="K134" s="118" t="s">
        <v>150</v>
      </c>
    </row>
    <row r="135" spans="2:14" x14ac:dyDescent="0.25">
      <c r="B135" s="136" t="s">
        <v>355</v>
      </c>
      <c r="C135" s="137"/>
      <c r="D135" s="137"/>
      <c r="E135" s="137"/>
      <c r="F135" s="137"/>
      <c r="G135" s="137"/>
      <c r="H135" s="137"/>
      <c r="I135" s="125">
        <v>3.9</v>
      </c>
      <c r="K135" s="118" t="s">
        <v>356</v>
      </c>
    </row>
    <row r="136" spans="2:14" x14ac:dyDescent="0.25">
      <c r="B136" s="136" t="s">
        <v>70</v>
      </c>
      <c r="C136" s="137"/>
      <c r="D136" s="137"/>
      <c r="E136" s="137"/>
      <c r="F136" s="137"/>
      <c r="G136" s="137"/>
      <c r="H136" s="137"/>
      <c r="I136" s="125">
        <v>3.9</v>
      </c>
      <c r="K136" s="118" t="s">
        <v>149</v>
      </c>
    </row>
    <row r="137" spans="2:14" x14ac:dyDescent="0.25">
      <c r="B137" s="136" t="s">
        <v>306</v>
      </c>
      <c r="C137" s="137"/>
      <c r="D137" s="137"/>
      <c r="E137" s="137"/>
      <c r="F137" s="137"/>
      <c r="G137" s="137"/>
      <c r="H137" s="137"/>
      <c r="I137" s="125">
        <v>5.75</v>
      </c>
      <c r="K137" s="118" t="s">
        <v>151</v>
      </c>
    </row>
    <row r="138" spans="2:14" x14ac:dyDescent="0.25">
      <c r="B138" s="136" t="s">
        <v>307</v>
      </c>
      <c r="C138" s="137"/>
      <c r="D138" s="137"/>
      <c r="E138" s="137"/>
      <c r="F138" s="137"/>
      <c r="G138" s="137"/>
      <c r="H138" s="137"/>
      <c r="I138" s="125">
        <v>5.75</v>
      </c>
      <c r="K138" s="118" t="s">
        <v>308</v>
      </c>
    </row>
    <row r="139" spans="2:14" x14ac:dyDescent="0.25">
      <c r="B139" s="136" t="s">
        <v>309</v>
      </c>
      <c r="C139" s="137"/>
      <c r="D139" s="137"/>
      <c r="E139" s="137"/>
      <c r="F139" s="137"/>
      <c r="G139" s="137"/>
      <c r="H139" s="137"/>
      <c r="I139" s="125">
        <v>3.9</v>
      </c>
      <c r="K139" s="118" t="s">
        <v>152</v>
      </c>
    </row>
    <row r="140" spans="2:14" x14ac:dyDescent="0.25">
      <c r="B140" s="136" t="s">
        <v>310</v>
      </c>
      <c r="C140" s="137"/>
      <c r="D140" s="137"/>
      <c r="E140" s="137"/>
      <c r="F140" s="137"/>
      <c r="G140" s="137"/>
      <c r="H140" s="137"/>
      <c r="I140" s="125">
        <v>3.9</v>
      </c>
      <c r="K140" s="118" t="s">
        <v>297</v>
      </c>
    </row>
    <row r="141" spans="2:14" x14ac:dyDescent="0.25">
      <c r="B141" s="136" t="s">
        <v>311</v>
      </c>
      <c r="C141" s="137"/>
      <c r="D141" s="137"/>
      <c r="E141" s="137"/>
      <c r="F141" s="137"/>
      <c r="G141" s="137"/>
      <c r="H141" s="137"/>
      <c r="I141" s="125">
        <v>3.9</v>
      </c>
      <c r="K141" s="118" t="s">
        <v>153</v>
      </c>
    </row>
    <row r="142" spans="2:14" x14ac:dyDescent="0.25">
      <c r="B142" s="136" t="s">
        <v>312</v>
      </c>
      <c r="C142" s="137"/>
      <c r="D142" s="137"/>
      <c r="E142" s="137"/>
      <c r="F142" s="137"/>
      <c r="G142" s="137"/>
      <c r="H142" s="137"/>
      <c r="I142" s="125">
        <v>5.75</v>
      </c>
      <c r="K142" s="118" t="s">
        <v>313</v>
      </c>
    </row>
    <row r="143" spans="2:14" x14ac:dyDescent="0.25">
      <c r="B143" s="136" t="s">
        <v>72</v>
      </c>
      <c r="C143" s="137"/>
      <c r="D143" s="137"/>
      <c r="E143" s="137"/>
      <c r="F143" s="137"/>
      <c r="G143" s="137"/>
      <c r="H143" s="137"/>
      <c r="I143" s="125">
        <v>3.9</v>
      </c>
      <c r="K143" s="118" t="s">
        <v>154</v>
      </c>
    </row>
    <row r="144" spans="2:14" x14ac:dyDescent="0.25">
      <c r="B144" s="136">
        <v>0</v>
      </c>
      <c r="C144" s="137"/>
      <c r="D144" s="137"/>
      <c r="E144" s="137"/>
      <c r="F144" s="137"/>
      <c r="G144" s="137"/>
      <c r="H144" s="137"/>
      <c r="I144" s="125">
        <v>0</v>
      </c>
    </row>
    <row r="145" spans="1:16" x14ac:dyDescent="0.25">
      <c r="B145" s="136" t="s">
        <v>357</v>
      </c>
      <c r="C145" s="137"/>
      <c r="D145" s="137"/>
      <c r="E145" s="137"/>
      <c r="F145" s="137"/>
      <c r="G145" s="137"/>
      <c r="H145" s="137"/>
      <c r="I145" s="125">
        <v>10</v>
      </c>
      <c r="K145" s="118" t="s">
        <v>358</v>
      </c>
      <c r="L145" s="118" t="s">
        <v>360</v>
      </c>
      <c r="M145" s="118" t="s">
        <v>69</v>
      </c>
      <c r="P145" s="118" t="s">
        <v>296</v>
      </c>
    </row>
    <row r="146" spans="1:16" x14ac:dyDescent="0.25">
      <c r="B146" s="136" t="s">
        <v>359</v>
      </c>
      <c r="C146" s="137"/>
      <c r="D146" s="137"/>
      <c r="E146" s="137"/>
      <c r="F146" s="137"/>
      <c r="G146" s="137"/>
      <c r="H146" s="137"/>
      <c r="I146" s="125">
        <v>12</v>
      </c>
      <c r="K146" s="118" t="s">
        <v>358</v>
      </c>
      <c r="L146" s="118" t="s">
        <v>360</v>
      </c>
      <c r="M146" s="118" t="s">
        <v>69</v>
      </c>
      <c r="N146" s="118" t="s">
        <v>366</v>
      </c>
      <c r="P146" s="118" t="s">
        <v>296</v>
      </c>
    </row>
    <row r="147" spans="1:16" x14ac:dyDescent="0.25">
      <c r="B147" s="136" t="s">
        <v>361</v>
      </c>
      <c r="C147" s="137"/>
      <c r="D147" s="137"/>
      <c r="E147" s="137"/>
      <c r="F147" s="137"/>
      <c r="G147" s="137"/>
      <c r="H147" s="137"/>
      <c r="I147" s="125">
        <v>14</v>
      </c>
      <c r="K147" s="118" t="s">
        <v>358</v>
      </c>
      <c r="L147" s="118" t="s">
        <v>360</v>
      </c>
      <c r="M147" s="118" t="s">
        <v>69</v>
      </c>
      <c r="N147" s="118" t="s">
        <v>366</v>
      </c>
      <c r="O147" s="118" t="s">
        <v>367</v>
      </c>
      <c r="P147" s="118" t="s">
        <v>296</v>
      </c>
    </row>
    <row r="148" spans="1:16" x14ac:dyDescent="0.25">
      <c r="B148" s="136"/>
      <c r="C148" s="137"/>
      <c r="D148" s="137"/>
      <c r="E148" s="137"/>
      <c r="F148" s="137"/>
      <c r="G148" s="137"/>
      <c r="H148" s="137"/>
      <c r="I148" s="125"/>
    </row>
    <row r="149" spans="1:16" x14ac:dyDescent="0.25">
      <c r="B149" s="136"/>
      <c r="C149" s="137"/>
      <c r="D149" s="137"/>
      <c r="E149" s="137"/>
      <c r="F149" s="137"/>
      <c r="G149" s="137"/>
      <c r="H149" s="137"/>
      <c r="I149" s="125"/>
    </row>
    <row r="154" spans="1:16" x14ac:dyDescent="0.25">
      <c r="B154" s="118" t="s">
        <v>158</v>
      </c>
    </row>
    <row r="155" spans="1:16" x14ac:dyDescent="0.25">
      <c r="B155" s="118" t="s">
        <v>30</v>
      </c>
      <c r="H155" s="118" t="s">
        <v>39</v>
      </c>
      <c r="I155" s="125">
        <v>2.5</v>
      </c>
    </row>
    <row r="156" spans="1:16" x14ac:dyDescent="0.25">
      <c r="B156" s="118" t="s">
        <v>156</v>
      </c>
      <c r="H156" s="118" t="s">
        <v>39</v>
      </c>
      <c r="I156" s="125">
        <v>3.35</v>
      </c>
    </row>
    <row r="157" spans="1:16" x14ac:dyDescent="0.25">
      <c r="B157" s="118" t="s">
        <v>157</v>
      </c>
      <c r="H157" s="118" t="s">
        <v>39</v>
      </c>
      <c r="I157" s="125">
        <v>3.9</v>
      </c>
    </row>
    <row r="159" spans="1:16" ht="15.75" x14ac:dyDescent="0.25">
      <c r="A159" s="138" t="s">
        <v>215</v>
      </c>
      <c r="B159" s="138"/>
      <c r="C159" s="138"/>
      <c r="D159" s="138"/>
      <c r="E159" s="138"/>
      <c r="F159" s="138"/>
      <c r="G159" s="138"/>
      <c r="H159" s="44"/>
      <c r="I159" s="44"/>
      <c r="P159" s="118" t="s">
        <v>221</v>
      </c>
    </row>
    <row r="160" spans="1:16" ht="15.75" x14ac:dyDescent="0.25">
      <c r="A160" s="138" t="s">
        <v>222</v>
      </c>
      <c r="B160" s="138"/>
      <c r="C160" s="138"/>
      <c r="D160" s="138"/>
      <c r="E160" s="138"/>
      <c r="F160" s="138"/>
      <c r="G160" s="138"/>
      <c r="H160" s="44"/>
      <c r="I160" s="44"/>
      <c r="P160" s="118" t="s">
        <v>223</v>
      </c>
    </row>
    <row r="161" spans="1:17" ht="15.75" x14ac:dyDescent="0.25">
      <c r="A161" s="138" t="s">
        <v>224</v>
      </c>
      <c r="C161" s="138"/>
      <c r="D161" s="138"/>
      <c r="E161" s="138"/>
      <c r="F161" s="138"/>
      <c r="G161" s="138"/>
      <c r="H161" s="44"/>
      <c r="I161" s="44"/>
      <c r="O161" s="139">
        <v>16</v>
      </c>
      <c r="P161" s="139">
        <v>16</v>
      </c>
      <c r="Q161" s="118" t="s">
        <v>225</v>
      </c>
    </row>
    <row r="162" spans="1:17" ht="15.75" x14ac:dyDescent="0.25">
      <c r="A162" s="138" t="s">
        <v>226</v>
      </c>
      <c r="B162" s="138"/>
      <c r="C162" s="138"/>
      <c r="D162" s="138"/>
      <c r="E162" s="138"/>
      <c r="F162" s="138"/>
      <c r="G162" s="138"/>
      <c r="H162" s="44"/>
      <c r="I162" s="44"/>
      <c r="P162" s="139">
        <v>28</v>
      </c>
    </row>
    <row r="163" spans="1:17" ht="15.75" x14ac:dyDescent="0.25">
      <c r="A163" s="138" t="s">
        <v>227</v>
      </c>
      <c r="B163" s="138"/>
      <c r="C163" s="138"/>
      <c r="D163" s="138"/>
      <c r="E163" s="138"/>
      <c r="F163" s="138"/>
      <c r="G163" s="138"/>
      <c r="P163" s="140"/>
    </row>
    <row r="164" spans="1:17" ht="15.75" x14ac:dyDescent="0.25">
      <c r="A164" s="138"/>
      <c r="B164" s="138"/>
      <c r="C164" s="138"/>
      <c r="D164" s="138"/>
      <c r="E164" s="138"/>
      <c r="F164" s="138"/>
      <c r="G164" s="138"/>
      <c r="P164" s="140"/>
    </row>
    <row r="165" spans="1:17" ht="15.75" x14ac:dyDescent="0.25">
      <c r="A165" s="138" t="s">
        <v>362</v>
      </c>
      <c r="C165" s="138"/>
      <c r="D165" s="138"/>
      <c r="E165" s="138"/>
      <c r="F165" s="138"/>
      <c r="G165" s="138"/>
      <c r="P165" s="139" t="s">
        <v>332</v>
      </c>
    </row>
    <row r="166" spans="1:17" ht="15.75" x14ac:dyDescent="0.25">
      <c r="A166" s="138" t="s">
        <v>363</v>
      </c>
      <c r="B166" s="138"/>
      <c r="C166" s="138"/>
      <c r="D166" s="138"/>
      <c r="E166" s="138"/>
      <c r="F166" s="138"/>
      <c r="G166" s="138"/>
    </row>
    <row r="167" spans="1:17" ht="15.75" x14ac:dyDescent="0.25">
      <c r="A167" s="138"/>
      <c r="B167" s="138"/>
      <c r="C167" s="138"/>
      <c r="D167" s="138"/>
      <c r="E167" s="138"/>
      <c r="F167" s="138"/>
      <c r="G167" s="138"/>
    </row>
    <row r="168" spans="1:17" ht="15.75" x14ac:dyDescent="0.25">
      <c r="B168" s="138"/>
      <c r="C168" s="138"/>
      <c r="D168" s="138"/>
      <c r="E168" s="138"/>
      <c r="F168" s="138"/>
      <c r="G168" s="138"/>
    </row>
    <row r="169" spans="1:17" ht="15.75" x14ac:dyDescent="0.25">
      <c r="A169" s="138" t="s">
        <v>228</v>
      </c>
    </row>
    <row r="171" spans="1:17" ht="15.75" x14ac:dyDescent="0.25">
      <c r="A171" s="141" t="s">
        <v>229</v>
      </c>
      <c r="B171" s="138"/>
    </row>
    <row r="172" spans="1:17" ht="15.75" x14ac:dyDescent="0.25">
      <c r="A172" s="138"/>
      <c r="B172" s="138"/>
    </row>
    <row r="173" spans="1:17" ht="15.75" x14ac:dyDescent="0.25">
      <c r="A173" s="138" t="s">
        <v>230</v>
      </c>
      <c r="B173" s="138"/>
    </row>
    <row r="174" spans="1:17" ht="15.75" x14ac:dyDescent="0.25">
      <c r="A174" s="138" t="s">
        <v>231</v>
      </c>
      <c r="B174" s="138"/>
    </row>
    <row r="175" spans="1:17" ht="15.75" x14ac:dyDescent="0.25">
      <c r="A175" s="138" t="s">
        <v>232</v>
      </c>
      <c r="B175" s="138"/>
    </row>
    <row r="176" spans="1:17" ht="15.75" x14ac:dyDescent="0.25">
      <c r="A176" s="138"/>
      <c r="B176" s="138"/>
    </row>
    <row r="177" spans="1:2" ht="15.75" x14ac:dyDescent="0.25">
      <c r="A177" s="138"/>
      <c r="B177" s="138"/>
    </row>
    <row r="178" spans="1:2" ht="15.75" x14ac:dyDescent="0.25">
      <c r="A178" s="138"/>
      <c r="B178" s="138"/>
    </row>
    <row r="179" spans="1:2" ht="15.75" x14ac:dyDescent="0.25">
      <c r="A179" s="138"/>
      <c r="B179" s="138"/>
    </row>
    <row r="180" spans="1:2" ht="15.75" x14ac:dyDescent="0.25">
      <c r="A180" s="141" t="s">
        <v>233</v>
      </c>
      <c r="B180" s="138"/>
    </row>
    <row r="181" spans="1:2" ht="15.75" x14ac:dyDescent="0.25">
      <c r="A181" s="138"/>
      <c r="B181" s="138"/>
    </row>
    <row r="182" spans="1:2" ht="15.75" x14ac:dyDescent="0.25">
      <c r="A182" s="138" t="s">
        <v>234</v>
      </c>
      <c r="B182" s="138"/>
    </row>
    <row r="183" spans="1:2" ht="15.75" x14ac:dyDescent="0.25">
      <c r="A183" s="138" t="s">
        <v>235</v>
      </c>
      <c r="B183" s="138"/>
    </row>
    <row r="184" spans="1:2" ht="15.75" x14ac:dyDescent="0.25">
      <c r="A184" s="138"/>
      <c r="B184" s="138"/>
    </row>
    <row r="185" spans="1:2" ht="15.75" x14ac:dyDescent="0.25">
      <c r="A185" s="141" t="s">
        <v>236</v>
      </c>
      <c r="B185" s="138"/>
    </row>
    <row r="187" spans="1:2" x14ac:dyDescent="0.25">
      <c r="A187" s="118" t="s">
        <v>237</v>
      </c>
    </row>
    <row r="188" spans="1:2" x14ac:dyDescent="0.25">
      <c r="A188" s="118" t="s">
        <v>217</v>
      </c>
    </row>
    <row r="222" spans="1:6" x14ac:dyDescent="0.25">
      <c r="A222" s="118" t="s">
        <v>442</v>
      </c>
      <c r="F222" s="118">
        <v>750</v>
      </c>
    </row>
    <row r="380" spans="1:1" x14ac:dyDescent="0.25">
      <c r="A380" s="118" t="s">
        <v>365</v>
      </c>
    </row>
    <row r="381" spans="1:1" x14ac:dyDescent="0.25">
      <c r="A381" s="118" t="s">
        <v>431</v>
      </c>
    </row>
    <row r="382" spans="1:1" x14ac:dyDescent="0.25">
      <c r="A382" s="118" t="s">
        <v>432</v>
      </c>
    </row>
  </sheetData>
  <sheetProtection algorithmName="SHA-512" hashValue="ypWqRhOfKfwChSG+/UOdDSlILULOyOgNkYwdOiBAm0QS6tWg24E+P0BCac0YXmVcm88/JrcSH9M0Pd9i0B9bWg==" saltValue="/hMsmtyMI9kCcXzgbsv0TA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M67"/>
  <sheetViews>
    <sheetView showGridLines="0" showRowColHeaders="0" zoomScaleNormal="100" workbookViewId="0">
      <selection activeCell="M52" sqref="M52"/>
    </sheetView>
  </sheetViews>
  <sheetFormatPr defaultRowHeight="15" x14ac:dyDescent="0.25"/>
  <cols>
    <col min="1" max="1" width="4.85546875" customWidth="1"/>
    <col min="6" max="6" width="2.28515625" customWidth="1"/>
    <col min="9" max="9" width="8.85546875" customWidth="1"/>
    <col min="12" max="12" width="6.42578125" customWidth="1"/>
  </cols>
  <sheetData>
    <row r="1" spans="2:4" x14ac:dyDescent="0.25">
      <c r="B1" t="s">
        <v>165</v>
      </c>
      <c r="D1" s="22"/>
    </row>
    <row r="2" spans="2:4" x14ac:dyDescent="0.25">
      <c r="B2" t="s">
        <v>166</v>
      </c>
      <c r="D2" s="22"/>
    </row>
    <row r="3" spans="2:4" x14ac:dyDescent="0.25">
      <c r="B3" t="s">
        <v>167</v>
      </c>
      <c r="D3" s="22"/>
    </row>
    <row r="4" spans="2:4" x14ac:dyDescent="0.25">
      <c r="B4" t="s">
        <v>168</v>
      </c>
      <c r="D4" s="22"/>
    </row>
    <row r="5" spans="2:4" x14ac:dyDescent="0.25">
      <c r="B5" t="s">
        <v>169</v>
      </c>
      <c r="D5" s="22"/>
    </row>
    <row r="6" spans="2:4" x14ac:dyDescent="0.25">
      <c r="B6" t="s">
        <v>170</v>
      </c>
      <c r="D6" s="22"/>
    </row>
    <row r="7" spans="2:4" x14ac:dyDescent="0.25">
      <c r="B7" t="s">
        <v>171</v>
      </c>
      <c r="D7" s="22"/>
    </row>
    <row r="8" spans="2:4" x14ac:dyDescent="0.25">
      <c r="B8" t="s">
        <v>172</v>
      </c>
      <c r="D8" s="22"/>
    </row>
    <row r="9" spans="2:4" x14ac:dyDescent="0.25">
      <c r="B9" t="s">
        <v>173</v>
      </c>
      <c r="D9" s="22"/>
    </row>
    <row r="10" spans="2:4" x14ac:dyDescent="0.25">
      <c r="B10" t="s">
        <v>174</v>
      </c>
      <c r="D10" s="22"/>
    </row>
    <row r="11" spans="2:4" x14ac:dyDescent="0.25">
      <c r="B11" t="s">
        <v>175</v>
      </c>
      <c r="D11" s="22"/>
    </row>
    <row r="12" spans="2:4" x14ac:dyDescent="0.25">
      <c r="B12" t="s">
        <v>176</v>
      </c>
      <c r="D12" s="22"/>
    </row>
    <row r="13" spans="2:4" x14ac:dyDescent="0.25">
      <c r="B13" t="s">
        <v>177</v>
      </c>
      <c r="D13" s="22"/>
    </row>
    <row r="14" spans="2:4" x14ac:dyDescent="0.25">
      <c r="B14" t="s">
        <v>178</v>
      </c>
      <c r="D14" s="22"/>
    </row>
    <row r="15" spans="2:4" x14ac:dyDescent="0.25">
      <c r="D15" s="22"/>
    </row>
    <row r="16" spans="2:4" x14ac:dyDescent="0.25">
      <c r="B16" t="s">
        <v>179</v>
      </c>
      <c r="D16" s="22"/>
    </row>
    <row r="17" spans="2:4" x14ac:dyDescent="0.25">
      <c r="B17" t="s">
        <v>180</v>
      </c>
      <c r="D17" s="22"/>
    </row>
    <row r="18" spans="2:4" x14ac:dyDescent="0.25">
      <c r="B18" t="s">
        <v>181</v>
      </c>
      <c r="D18" s="22"/>
    </row>
    <row r="19" spans="2:4" x14ac:dyDescent="0.25">
      <c r="B19" t="s">
        <v>182</v>
      </c>
      <c r="D19" s="22"/>
    </row>
    <row r="20" spans="2:4" x14ac:dyDescent="0.25">
      <c r="B20" t="s">
        <v>183</v>
      </c>
      <c r="D20" s="22"/>
    </row>
    <row r="21" spans="2:4" x14ac:dyDescent="0.25">
      <c r="B21" t="s">
        <v>184</v>
      </c>
      <c r="D21" s="22"/>
    </row>
    <row r="22" spans="2:4" x14ac:dyDescent="0.25">
      <c r="D22" s="22"/>
    </row>
    <row r="23" spans="2:4" x14ac:dyDescent="0.25">
      <c r="B23" t="s">
        <v>185</v>
      </c>
      <c r="D23" s="22"/>
    </row>
    <row r="24" spans="2:4" x14ac:dyDescent="0.25">
      <c r="B24" t="s">
        <v>186</v>
      </c>
      <c r="D24" s="22"/>
    </row>
    <row r="25" spans="2:4" x14ac:dyDescent="0.25">
      <c r="D25" s="22"/>
    </row>
    <row r="26" spans="2:4" x14ac:dyDescent="0.25">
      <c r="B26" t="s">
        <v>187</v>
      </c>
      <c r="D26" s="22"/>
    </row>
    <row r="27" spans="2:4" x14ac:dyDescent="0.25">
      <c r="B27" t="s">
        <v>238</v>
      </c>
      <c r="D27" s="22"/>
    </row>
    <row r="28" spans="2:4" x14ac:dyDescent="0.25">
      <c r="B28" t="s">
        <v>239</v>
      </c>
      <c r="D28" s="22"/>
    </row>
    <row r="29" spans="2:4" x14ac:dyDescent="0.25">
      <c r="B29" t="s">
        <v>240</v>
      </c>
      <c r="D29" s="22"/>
    </row>
    <row r="30" spans="2:4" x14ac:dyDescent="0.25">
      <c r="B30" t="s">
        <v>241</v>
      </c>
      <c r="D30" s="22"/>
    </row>
    <row r="31" spans="2:4" x14ac:dyDescent="0.25">
      <c r="B31" t="s">
        <v>242</v>
      </c>
      <c r="D31" s="22"/>
    </row>
    <row r="32" spans="2:4" x14ac:dyDescent="0.25">
      <c r="B32" t="s">
        <v>249</v>
      </c>
      <c r="D32" s="22"/>
    </row>
    <row r="33" spans="2:12" x14ac:dyDescent="0.25">
      <c r="B33" t="s">
        <v>243</v>
      </c>
      <c r="D33" s="22"/>
    </row>
    <row r="34" spans="2:12" x14ac:dyDescent="0.25">
      <c r="D34" s="22"/>
    </row>
    <row r="35" spans="2:12" x14ac:dyDescent="0.25">
      <c r="B35" t="s">
        <v>188</v>
      </c>
      <c r="D35" s="22"/>
    </row>
    <row r="36" spans="2:12" x14ac:dyDescent="0.25">
      <c r="B36" t="s">
        <v>189</v>
      </c>
      <c r="D36" s="22"/>
    </row>
    <row r="37" spans="2:12" x14ac:dyDescent="0.25">
      <c r="B37" t="s">
        <v>190</v>
      </c>
      <c r="D37" s="22"/>
    </row>
    <row r="38" spans="2:12" x14ac:dyDescent="0.25">
      <c r="B38" t="s">
        <v>191</v>
      </c>
      <c r="D38" s="22"/>
    </row>
    <row r="39" spans="2:12" x14ac:dyDescent="0.25">
      <c r="B39" t="s">
        <v>192</v>
      </c>
      <c r="D39" s="22"/>
    </row>
    <row r="40" spans="2:12" x14ac:dyDescent="0.25">
      <c r="D40" s="22"/>
    </row>
    <row r="41" spans="2:12" x14ac:dyDescent="0.25">
      <c r="B41" t="s">
        <v>193</v>
      </c>
      <c r="D41" s="22"/>
    </row>
    <row r="42" spans="2:12" x14ac:dyDescent="0.25">
      <c r="B42" t="s">
        <v>194</v>
      </c>
      <c r="D42" s="22"/>
    </row>
    <row r="43" spans="2:12" x14ac:dyDescent="0.25">
      <c r="D43" s="22"/>
    </row>
    <row r="44" spans="2:12" x14ac:dyDescent="0.25">
      <c r="B44" t="s">
        <v>195</v>
      </c>
      <c r="D44" s="22"/>
      <c r="J44" s="45">
        <f>matrixen!E6</f>
        <v>950</v>
      </c>
    </row>
    <row r="45" spans="2:12" x14ac:dyDescent="0.25">
      <c r="B45" t="str">
        <f>"Indien het verbruik lager ligt dan wordt het factuurbedrag opgetrokken tot € "&amp;J44</f>
        <v>Indien het verbruik lager ligt dan wordt het factuurbedrag opgetrokken tot € 950</v>
      </c>
      <c r="D45" s="22"/>
      <c r="L45" s="45"/>
    </row>
    <row r="46" spans="2:12" x14ac:dyDescent="0.25">
      <c r="B46" t="s">
        <v>303</v>
      </c>
      <c r="D46" s="22"/>
    </row>
    <row r="47" spans="2:12" x14ac:dyDescent="0.25">
      <c r="B47" t="s">
        <v>196</v>
      </c>
      <c r="D47" s="22"/>
    </row>
    <row r="48" spans="2:12" x14ac:dyDescent="0.25">
      <c r="D48" s="22"/>
    </row>
    <row r="49" spans="2:13" x14ac:dyDescent="0.25">
      <c r="B49" t="s">
        <v>197</v>
      </c>
      <c r="D49" s="22"/>
    </row>
    <row r="50" spans="2:13" x14ac:dyDescent="0.25">
      <c r="B50" t="s">
        <v>198</v>
      </c>
      <c r="D50" s="22"/>
    </row>
    <row r="51" spans="2:13" x14ac:dyDescent="0.25">
      <c r="B51" t="s">
        <v>199</v>
      </c>
      <c r="D51" s="22"/>
      <c r="M51" s="45">
        <f>J44/10</f>
        <v>95</v>
      </c>
    </row>
    <row r="52" spans="2:13" x14ac:dyDescent="0.25">
      <c r="B52" t="s">
        <v>200</v>
      </c>
      <c r="D52" s="22"/>
    </row>
    <row r="53" spans="2:13" x14ac:dyDescent="0.25">
      <c r="B53" t="s">
        <v>201</v>
      </c>
      <c r="D53" s="22"/>
    </row>
    <row r="54" spans="2:13" x14ac:dyDescent="0.25">
      <c r="B54" t="s">
        <v>202</v>
      </c>
      <c r="D54" s="22"/>
    </row>
    <row r="55" spans="2:13" x14ac:dyDescent="0.25">
      <c r="B55" t="s">
        <v>203</v>
      </c>
      <c r="D55" s="22"/>
    </row>
    <row r="56" spans="2:13" x14ac:dyDescent="0.25">
      <c r="B56" t="s">
        <v>204</v>
      </c>
      <c r="D56" s="22"/>
    </row>
    <row r="57" spans="2:13" x14ac:dyDescent="0.25">
      <c r="B57" s="45" t="s">
        <v>205</v>
      </c>
      <c r="D57" s="22"/>
      <c r="G57" s="45">
        <f>M51</f>
        <v>95</v>
      </c>
    </row>
    <row r="58" spans="2:13" x14ac:dyDescent="0.25">
      <c r="B58" t="s">
        <v>206</v>
      </c>
      <c r="D58" s="22"/>
    </row>
    <row r="59" spans="2:13" x14ac:dyDescent="0.25">
      <c r="B59" t="s">
        <v>244</v>
      </c>
      <c r="D59" s="22"/>
    </row>
    <row r="60" spans="2:13" x14ac:dyDescent="0.25">
      <c r="B60" t="s">
        <v>245</v>
      </c>
      <c r="D60" s="22"/>
    </row>
    <row r="61" spans="2:13" x14ac:dyDescent="0.25">
      <c r="B61" t="s">
        <v>246</v>
      </c>
      <c r="D61" s="22"/>
    </row>
    <row r="62" spans="2:13" x14ac:dyDescent="0.25">
      <c r="B62" t="s">
        <v>247</v>
      </c>
      <c r="D62" s="22"/>
    </row>
    <row r="63" spans="2:13" x14ac:dyDescent="0.25">
      <c r="B63" t="s">
        <v>248</v>
      </c>
      <c r="D63" s="22"/>
    </row>
    <row r="64" spans="2:13" x14ac:dyDescent="0.25">
      <c r="D64" s="22"/>
    </row>
    <row r="65" spans="4:4" x14ac:dyDescent="0.25">
      <c r="D65" s="22"/>
    </row>
    <row r="66" spans="4:4" x14ac:dyDescent="0.25">
      <c r="D66" s="22"/>
    </row>
    <row r="67" spans="4:4" x14ac:dyDescent="0.25">
      <c r="D67" s="22"/>
    </row>
  </sheetData>
  <sheetProtection algorithmName="SHA-512" hashValue="UD7fvabAleYJTHEYkaA9kXTI8KWITKwe8WlCIBlpvsCmV8BblN3l31Wnd+0IwvWANWZDb4xSbsisYnn3btnn4g==" saltValue="xOoEmLa6lGbhwXfycvJAAA==" spinCount="100000" sheet="1" objects="1" scenarios="1" selectLockedCells="1"/>
  <pageMargins left="0.7" right="0.7" top="0.75" bottom="0.75" header="0.3" footer="0.3"/>
  <pageSetup paperSize="9" scale="7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G50"/>
  <sheetViews>
    <sheetView showGridLines="0" showRowColHeaders="0" showZeros="0" zoomScaleNormal="100" workbookViewId="0">
      <selection activeCell="P10" sqref="P10"/>
    </sheetView>
  </sheetViews>
  <sheetFormatPr defaultRowHeight="15" x14ac:dyDescent="0.25"/>
  <cols>
    <col min="1" max="1" width="12.5703125" style="58" customWidth="1"/>
    <col min="2" max="2" width="5.140625" style="58" customWidth="1"/>
    <col min="3" max="3" width="11.140625" style="58" customWidth="1"/>
    <col min="4" max="5" width="9.140625" style="58"/>
    <col min="6" max="6" width="6" style="58" customWidth="1"/>
    <col min="7" max="7" width="9.140625" style="58"/>
    <col min="8" max="8" width="13.140625" style="58" customWidth="1"/>
    <col min="9" max="9" width="11" style="58" customWidth="1"/>
    <col min="10" max="16384" width="9.140625" style="58"/>
  </cols>
  <sheetData>
    <row r="1" spans="1:18" x14ac:dyDescent="0.25">
      <c r="C1" s="59" t="s">
        <v>344</v>
      </c>
      <c r="K1" s="55" t="s">
        <v>317</v>
      </c>
      <c r="P1" s="60" t="s">
        <v>318</v>
      </c>
      <c r="Q1" s="61">
        <f ca="1">D9</f>
        <v>33.799999999999997</v>
      </c>
    </row>
    <row r="2" spans="1:18" ht="15.75" thickBot="1" x14ac:dyDescent="0.3">
      <c r="A2" s="62" t="s">
        <v>257</v>
      </c>
      <c r="C2" s="58">
        <f>'koud buffet'!F92</f>
        <v>0</v>
      </c>
      <c r="E2" s="59" t="s">
        <v>258</v>
      </c>
      <c r="L2" s="63"/>
      <c r="O2" s="60" t="str">
        <f>IF(P2&gt;0,"Prijs drankforfait na de maaltijd, volledig aan 21% BTW:","")</f>
        <v>Prijs drankforfait na de maaltijd, volledig aan 21% BTW:</v>
      </c>
      <c r="P2" s="60" t="str">
        <f>IF(Q2&gt;0,"Prijs drankforfait na de maaltijd, volledig aan 21% BTW:","")</f>
        <v/>
      </c>
      <c r="Q2" s="61">
        <f>'koud buffet'!D76</f>
        <v>0</v>
      </c>
    </row>
    <row r="3" spans="1:18" ht="15.75" customHeight="1" thickBot="1" x14ac:dyDescent="0.3">
      <c r="A3" s="62" t="s">
        <v>254</v>
      </c>
      <c r="C3" s="58">
        <f>'koud buffet'!F93</f>
        <v>0</v>
      </c>
      <c r="E3" s="59" t="s">
        <v>259</v>
      </c>
      <c r="H3" s="64" t="s">
        <v>263</v>
      </c>
      <c r="I3" s="65">
        <f>'koud buffet'!F90</f>
        <v>0</v>
      </c>
      <c r="L3" s="66"/>
      <c r="M3" s="67" t="s">
        <v>319</v>
      </c>
      <c r="N3" s="67"/>
      <c r="O3" s="150" t="s">
        <v>333</v>
      </c>
      <c r="P3" s="152" t="str">
        <f>IF(Q2&gt;0,"Drank- forfait:","")</f>
        <v/>
      </c>
      <c r="Q3" s="148" t="s">
        <v>320</v>
      </c>
      <c r="R3" s="150" t="s">
        <v>334</v>
      </c>
    </row>
    <row r="4" spans="1:18" ht="15.75" thickBot="1" x14ac:dyDescent="0.3">
      <c r="A4" s="62" t="s">
        <v>255</v>
      </c>
      <c r="C4" s="58">
        <f>'koud buffet'!F94</f>
        <v>0</v>
      </c>
      <c r="E4" s="59" t="s">
        <v>260</v>
      </c>
      <c r="H4" s="64" t="s">
        <v>252</v>
      </c>
      <c r="I4" s="65">
        <f>'koud buffet'!F91</f>
        <v>0</v>
      </c>
      <c r="K4" s="65" t="s">
        <v>321</v>
      </c>
      <c r="L4" s="81" t="s">
        <v>322</v>
      </c>
      <c r="M4" s="65" t="s">
        <v>323</v>
      </c>
      <c r="N4" s="81" t="s">
        <v>324</v>
      </c>
      <c r="O4" s="151"/>
      <c r="P4" s="153"/>
      <c r="Q4" s="149"/>
      <c r="R4" s="151"/>
    </row>
    <row r="5" spans="1:18" x14ac:dyDescent="0.25">
      <c r="A5" s="62" t="s">
        <v>256</v>
      </c>
      <c r="C5" s="58">
        <f>'koud buffet'!F95</f>
        <v>0</v>
      </c>
      <c r="E5" s="58" t="s">
        <v>298</v>
      </c>
      <c r="J5" s="58" t="s">
        <v>325</v>
      </c>
      <c r="K5" s="68">
        <f>C9</f>
        <v>0</v>
      </c>
      <c r="L5" s="82">
        <f ca="1">Q1-Q2</f>
        <v>33.799999999999997</v>
      </c>
      <c r="M5" s="69">
        <f ca="1">ROUND(L5*0.65,2)</f>
        <v>21.97</v>
      </c>
      <c r="N5" s="83">
        <f ca="1">L5-M5</f>
        <v>11.829999999999998</v>
      </c>
      <c r="O5" s="84">
        <f ca="1">K5*M5</f>
        <v>0</v>
      </c>
      <c r="P5" s="85">
        <f>Q2</f>
        <v>0</v>
      </c>
      <c r="Q5" s="69">
        <f ca="1">N5+P5</f>
        <v>11.829999999999998</v>
      </c>
      <c r="R5" s="84">
        <f ca="1">K5*Q5</f>
        <v>0</v>
      </c>
    </row>
    <row r="6" spans="1:18" x14ac:dyDescent="0.25">
      <c r="A6" s="62" t="str">
        <f>'koud buffet'!J103</f>
        <v>reden feest:</v>
      </c>
      <c r="B6" s="70">
        <f>'koud buffet'!K103</f>
        <v>0</v>
      </c>
      <c r="C6" s="71"/>
      <c r="D6" s="71"/>
      <c r="E6" s="72" t="s">
        <v>261</v>
      </c>
      <c r="J6" s="58" t="s">
        <v>326</v>
      </c>
      <c r="K6" s="68">
        <f>C10</f>
        <v>0</v>
      </c>
      <c r="L6" s="82">
        <f ca="1">D10-P6</f>
        <v>16.899999999999999</v>
      </c>
      <c r="M6" s="69">
        <f ca="1">ROUND(L6*0.65,2)</f>
        <v>10.99</v>
      </c>
      <c r="N6" s="83">
        <f ca="1">L6-M6</f>
        <v>5.9099999999999984</v>
      </c>
      <c r="O6" s="84">
        <f ca="1">K6*M6</f>
        <v>0</v>
      </c>
      <c r="P6" s="85">
        <f>ROUND(Q2/2,2)</f>
        <v>0</v>
      </c>
      <c r="Q6" s="69">
        <f ca="1">N6+P6</f>
        <v>5.9099999999999984</v>
      </c>
      <c r="R6" s="84">
        <f ca="1">K6*Q6</f>
        <v>0</v>
      </c>
    </row>
    <row r="7" spans="1:18" x14ac:dyDescent="0.25">
      <c r="A7" s="59" t="s">
        <v>262</v>
      </c>
      <c r="C7" s="73">
        <f>'koud buffet'!F83</f>
        <v>0</v>
      </c>
      <c r="E7" s="62" t="s">
        <v>369</v>
      </c>
      <c r="F7" s="58">
        <f>'koud buffet'!F96</f>
        <v>0</v>
      </c>
      <c r="H7" s="60"/>
      <c r="I7" s="74"/>
      <c r="J7" s="58" t="s">
        <v>327</v>
      </c>
      <c r="K7" s="68">
        <f>C11</f>
        <v>0</v>
      </c>
      <c r="L7" s="82">
        <f ca="1">D11-P7</f>
        <v>11.27</v>
      </c>
      <c r="M7" s="69">
        <f ca="1">ROUND(L7*0.65,2)</f>
        <v>7.33</v>
      </c>
      <c r="N7" s="83">
        <f ca="1">L7-M7</f>
        <v>3.9399999999999995</v>
      </c>
      <c r="O7" s="84">
        <f ca="1">K7*M7</f>
        <v>0</v>
      </c>
      <c r="P7" s="85">
        <f>ROUND(Q2/3,2)</f>
        <v>0</v>
      </c>
      <c r="Q7" s="69">
        <f ca="1">N7+P7</f>
        <v>3.9399999999999995</v>
      </c>
      <c r="R7" s="84">
        <f ca="1">K7*Q7</f>
        <v>0</v>
      </c>
    </row>
    <row r="8" spans="1:18" ht="15.75" thickBot="1" x14ac:dyDescent="0.3">
      <c r="C8" s="64" t="s">
        <v>343</v>
      </c>
      <c r="D8" s="63">
        <f>C9+C12+C11+C10</f>
        <v>0</v>
      </c>
      <c r="E8" s="60"/>
      <c r="H8" s="60" t="s">
        <v>281</v>
      </c>
      <c r="I8" s="74">
        <f ca="1">C9*D9+C10*D10+C11*D11+C12*D12</f>
        <v>0</v>
      </c>
      <c r="J8" s="58" t="s">
        <v>328</v>
      </c>
      <c r="K8" s="68">
        <f>C12</f>
        <v>0</v>
      </c>
      <c r="L8" s="86">
        <f>E12</f>
        <v>0</v>
      </c>
      <c r="M8" s="87">
        <f>L8*0.65</f>
        <v>0</v>
      </c>
      <c r="N8" s="88">
        <f>L8*0.35</f>
        <v>0</v>
      </c>
      <c r="O8" s="89">
        <f>K8*M8</f>
        <v>0</v>
      </c>
      <c r="P8" s="90"/>
      <c r="Q8" s="68">
        <f>N8+P8</f>
        <v>0</v>
      </c>
      <c r="R8" s="89">
        <f>K8*Q8</f>
        <v>0</v>
      </c>
    </row>
    <row r="9" spans="1:18" ht="15.75" thickBot="1" x14ac:dyDescent="0.3">
      <c r="B9" s="64" t="s">
        <v>264</v>
      </c>
      <c r="C9" s="65">
        <f>'koud buffet'!F85</f>
        <v>0</v>
      </c>
      <c r="D9" s="61">
        <f ca="1">'koud buffet'!D7</f>
        <v>33.799999999999997</v>
      </c>
      <c r="H9" s="60" t="s">
        <v>282</v>
      </c>
      <c r="I9" s="74">
        <f>'koud buffet'!F98</f>
        <v>0</v>
      </c>
      <c r="L9" s="91" t="s">
        <v>335</v>
      </c>
      <c r="M9" s="92"/>
      <c r="O9" s="109">
        <f>ROUND(M9/98*100,2)</f>
        <v>0</v>
      </c>
      <c r="P9" s="93" t="str">
        <f>IF(Q9&gt;0,"Huur zaal/exclusiviteit: ","")</f>
        <v/>
      </c>
      <c r="Q9" s="69">
        <f>I10+I11</f>
        <v>0</v>
      </c>
    </row>
    <row r="10" spans="1:18" ht="15.75" thickBot="1" x14ac:dyDescent="0.3">
      <c r="B10" s="64" t="s">
        <v>265</v>
      </c>
      <c r="C10" s="65">
        <f>'koud buffet'!F86</f>
        <v>0</v>
      </c>
      <c r="D10" s="61">
        <f ca="1">'koud buffet'!J7</f>
        <v>16.899999999999999</v>
      </c>
      <c r="H10" s="60" t="s">
        <v>283</v>
      </c>
      <c r="I10" s="74">
        <f>IF(D8=0,0,IF((I8+I9)&lt;'Algemene verkoopsvoorwaarden'!J44,'Algemene verkoopsvoorwaarden'!J44-Reservatievoorstel!I8-Reservatievoorstel!I9,0))</f>
        <v>0</v>
      </c>
      <c r="L10" s="60" t="s">
        <v>336</v>
      </c>
      <c r="M10" s="160"/>
      <c r="N10" s="161"/>
    </row>
    <row r="11" spans="1:18" x14ac:dyDescent="0.25">
      <c r="B11" s="64" t="s">
        <v>266</v>
      </c>
      <c r="C11" s="65">
        <f>'koud buffet'!F87</f>
        <v>0</v>
      </c>
      <c r="D11" s="61">
        <f ca="1">'koud buffet'!H7</f>
        <v>11.27</v>
      </c>
      <c r="H11" s="60" t="str">
        <f>IF(I11&gt;0,"U koos voor exclusiviteit:","")</f>
        <v/>
      </c>
      <c r="I11" s="74">
        <f>'koud buffet'!L74</f>
        <v>0</v>
      </c>
      <c r="J11" s="14"/>
      <c r="L11" s="60" t="str">
        <f>IF(O9&gt;0,"Voorschot uitgesplitst:","")</f>
        <v/>
      </c>
      <c r="M11" s="61" t="str">
        <f>IF(O9&gt;0," € "&amp;ROUND(O9*0.65,2)&amp; " x 12% =&gt; Dep. B  en € " &amp; ROUND(O9*0.35,2) &amp; " x 21% =&gt; Dep. A.","")</f>
        <v/>
      </c>
      <c r="N11" s="61"/>
    </row>
    <row r="12" spans="1:18" ht="15.75" thickBot="1" x14ac:dyDescent="0.3">
      <c r="B12" s="64" t="s">
        <v>267</v>
      </c>
      <c r="C12" s="65">
        <f>'koud buffet'!F88</f>
        <v>0</v>
      </c>
      <c r="D12" s="75" t="str">
        <f>'koud buffet'!F7</f>
        <v>0,00</v>
      </c>
      <c r="H12" s="60" t="s">
        <v>331</v>
      </c>
      <c r="I12" s="74">
        <f ca="1">I10+I9+I8+I11</f>
        <v>0</v>
      </c>
      <c r="M12" s="60" t="s">
        <v>337</v>
      </c>
      <c r="N12" s="65">
        <f>IF(O9&gt;0,ROUNDUP((O9+1)/L5,0),0)</f>
        <v>0</v>
      </c>
      <c r="O12" s="61" t="s">
        <v>338</v>
      </c>
    </row>
    <row r="13" spans="1:18" ht="15.75" thickBot="1" x14ac:dyDescent="0.3">
      <c r="H13" s="60" t="s">
        <v>302</v>
      </c>
      <c r="I13" s="74">
        <f ca="1">'koud buffet'!G104</f>
        <v>0</v>
      </c>
      <c r="J13" s="162" t="s">
        <v>339</v>
      </c>
      <c r="K13" s="163"/>
      <c r="L13" s="164"/>
      <c r="M13" s="165" t="str">
        <f ca="1">IF(O9*0.65 &gt;N12*M5,"ONMOGELIJK U bekomt negatieve waarden.","")</f>
        <v/>
      </c>
      <c r="N13" s="165"/>
      <c r="O13" s="165"/>
      <c r="P13" s="165"/>
      <c r="Q13" s="165"/>
      <c r="R13" s="94"/>
    </row>
    <row r="14" spans="1:18" x14ac:dyDescent="0.25">
      <c r="A14" s="76" t="s">
        <v>268</v>
      </c>
      <c r="D14" s="77" t="str">
        <f>'koud buffet'!K102</f>
        <v>geen voorkeur</v>
      </c>
      <c r="J14" s="95">
        <f>N12</f>
        <v>0</v>
      </c>
      <c r="K14" s="96" t="s">
        <v>340</v>
      </c>
      <c r="L14" s="96" t="s">
        <v>332</v>
      </c>
      <c r="M14" s="97" t="str">
        <f ca="1">IFERROR(ROUND(M5-O9*0.65/N12,2),"")</f>
        <v/>
      </c>
      <c r="N14" s="98">
        <v>0.12</v>
      </c>
      <c r="O14" s="97" t="str">
        <f ca="1">IFERROR(J14*M14,"")</f>
        <v/>
      </c>
      <c r="P14" s="99" t="s">
        <v>333</v>
      </c>
      <c r="Q14" s="100" t="s">
        <v>341</v>
      </c>
      <c r="R14" s="101"/>
    </row>
    <row r="15" spans="1:18" x14ac:dyDescent="0.25">
      <c r="A15" s="58" t="str">
        <f>'koud buffet'!H84</f>
        <v/>
      </c>
      <c r="B15" s="59"/>
      <c r="I15" s="64" t="str">
        <f>'koud buffet'!B20</f>
        <v>De gast die een extra aperitief bestelt betaalt deze zelf</v>
      </c>
      <c r="J15" s="154" t="str">
        <f>IFERROR( " Er wordt € " &amp; ROUND(O9*0.65/N12,2) &amp; " minder geboekt bij " &amp; N12 &amp; " personen omdat dit reeds als voorschot werd geboekt.","")</f>
        <v/>
      </c>
      <c r="K15" s="155"/>
      <c r="L15" s="155"/>
      <c r="M15" s="155"/>
      <c r="N15" s="155"/>
      <c r="O15" s="155"/>
      <c r="P15" s="155"/>
      <c r="Q15" s="155"/>
      <c r="R15" s="156"/>
    </row>
    <row r="16" spans="1:18" x14ac:dyDescent="0.25">
      <c r="A16" s="58" t="str">
        <f>'koud buffet'!H85</f>
        <v/>
      </c>
      <c r="I16" s="64" t="str">
        <f>IF(O9&gt;0," Uw voorschot van € " &amp; O9 &amp; " wordt nog in mindering gebracht","")</f>
        <v/>
      </c>
      <c r="J16" s="102">
        <f>N12</f>
        <v>0</v>
      </c>
      <c r="K16" s="99" t="s">
        <v>340</v>
      </c>
      <c r="L16" s="99" t="s">
        <v>332</v>
      </c>
      <c r="M16" s="97" t="str">
        <f ca="1">IFERROR(ROUND(Q5-O9*0.35/N12,2),"")</f>
        <v/>
      </c>
      <c r="N16" s="98">
        <v>0.21</v>
      </c>
      <c r="O16" s="97" t="str">
        <f ca="1">IFERROR(J16*M16,"")</f>
        <v/>
      </c>
      <c r="P16" s="99" t="s">
        <v>334</v>
      </c>
      <c r="Q16" s="100" t="s">
        <v>341</v>
      </c>
      <c r="R16" s="101"/>
    </row>
    <row r="17" spans="1:33" x14ac:dyDescent="0.25">
      <c r="A17" s="58" t="str">
        <f>'koud buffet'!H86</f>
        <v/>
      </c>
      <c r="J17" s="154" t="str">
        <f>IFERROR( " Er wordt € " &amp; ROUND(O9*0.35/N12,2) &amp; " minder geboekt bij " &amp; N12 &amp; " personen omdat dit reeds als voorschot werd geboekt.","")</f>
        <v/>
      </c>
      <c r="K17" s="155"/>
      <c r="L17" s="155"/>
      <c r="M17" s="155"/>
      <c r="N17" s="155"/>
      <c r="O17" s="155"/>
      <c r="P17" s="155"/>
      <c r="Q17" s="155"/>
      <c r="R17" s="156"/>
    </row>
    <row r="18" spans="1:33" x14ac:dyDescent="0.25">
      <c r="A18" s="58" t="str">
        <f>'koud buffet'!H87</f>
        <v/>
      </c>
      <c r="I18" s="78"/>
      <c r="J18" s="102">
        <f>K5-J14</f>
        <v>0</v>
      </c>
      <c r="K18" s="99" t="str">
        <f>K14</f>
        <v>vol</v>
      </c>
      <c r="L18" s="99" t="s">
        <v>332</v>
      </c>
      <c r="M18" s="97">
        <f ca="1">M5</f>
        <v>21.97</v>
      </c>
      <c r="N18" s="98">
        <v>0.12</v>
      </c>
      <c r="O18" s="97">
        <f t="shared" ref="O18:O23" ca="1" si="0">J18*M18</f>
        <v>0</v>
      </c>
      <c r="P18" s="99" t="s">
        <v>333</v>
      </c>
      <c r="Q18" s="78"/>
      <c r="R18" s="101"/>
    </row>
    <row r="19" spans="1:33" x14ac:dyDescent="0.25">
      <c r="A19" s="58" t="str">
        <f>'koud buffet'!H88</f>
        <v/>
      </c>
      <c r="I19" s="78"/>
      <c r="J19" s="102">
        <f>K5-J16</f>
        <v>0</v>
      </c>
      <c r="K19" s="99" t="str">
        <f>K16</f>
        <v>vol</v>
      </c>
      <c r="L19" s="99" t="s">
        <v>332</v>
      </c>
      <c r="M19" s="97">
        <f ca="1">Q5</f>
        <v>11.829999999999998</v>
      </c>
      <c r="N19" s="98">
        <v>0.21</v>
      </c>
      <c r="O19" s="97">
        <f t="shared" ca="1" si="0"/>
        <v>0</v>
      </c>
      <c r="P19" s="99" t="s">
        <v>334</v>
      </c>
      <c r="Q19" s="78"/>
      <c r="R19" s="101"/>
    </row>
    <row r="20" spans="1:33" x14ac:dyDescent="0.25">
      <c r="A20" s="58" t="str">
        <f>'koud buffet'!H89</f>
        <v/>
      </c>
      <c r="I20" s="78"/>
      <c r="J20" s="102">
        <f>K6</f>
        <v>0</v>
      </c>
      <c r="K20" s="99" t="str">
        <f>J6</f>
        <v>JR 1/2</v>
      </c>
      <c r="L20" s="99" t="s">
        <v>332</v>
      </c>
      <c r="M20" s="97">
        <f ca="1">M6</f>
        <v>10.99</v>
      </c>
      <c r="N20" s="98">
        <v>0.12</v>
      </c>
      <c r="O20" s="97">
        <f t="shared" ca="1" si="0"/>
        <v>0</v>
      </c>
      <c r="P20" s="99" t="s">
        <v>333</v>
      </c>
      <c r="Q20" s="78"/>
      <c r="R20" s="101"/>
    </row>
    <row r="21" spans="1:33" x14ac:dyDescent="0.25">
      <c r="A21" s="79" t="str">
        <f>'koud buffet'!H90</f>
        <v/>
      </c>
      <c r="B21" s="79"/>
      <c r="C21" s="79"/>
      <c r="D21" s="79"/>
      <c r="E21" s="79"/>
      <c r="F21" s="79"/>
      <c r="G21" s="79"/>
      <c r="H21" s="79"/>
      <c r="I21" s="79"/>
      <c r="J21" s="102">
        <f>K6</f>
        <v>0</v>
      </c>
      <c r="K21" s="99" t="str">
        <f>J6</f>
        <v>JR 1/2</v>
      </c>
      <c r="L21" s="99" t="s">
        <v>332</v>
      </c>
      <c r="M21" s="97">
        <f ca="1">Q6</f>
        <v>5.9099999999999984</v>
      </c>
      <c r="N21" s="98">
        <v>0.21</v>
      </c>
      <c r="O21" s="97">
        <f t="shared" ca="1" si="0"/>
        <v>0</v>
      </c>
      <c r="P21" s="99" t="s">
        <v>334</v>
      </c>
      <c r="Q21" s="78"/>
      <c r="R21" s="101"/>
    </row>
    <row r="22" spans="1:33" x14ac:dyDescent="0.25">
      <c r="A22" s="58" t="str">
        <f>'koud buffet'!H91</f>
        <v>Koude aardappelen</v>
      </c>
      <c r="G22" s="58" t="str">
        <f>'koud buffet'!H92</f>
        <v xml:space="preserve">Groenten en sausen </v>
      </c>
      <c r="J22" s="102">
        <f>K7</f>
        <v>0</v>
      </c>
      <c r="K22" s="99" t="str">
        <f>J7</f>
        <v>JR 1/3</v>
      </c>
      <c r="L22" s="99" t="s">
        <v>332</v>
      </c>
      <c r="M22" s="97">
        <f ca="1">M7</f>
        <v>7.33</v>
      </c>
      <c r="N22" s="98">
        <v>0.12</v>
      </c>
      <c r="O22" s="97">
        <f t="shared" ca="1" si="0"/>
        <v>0</v>
      </c>
      <c r="P22" s="99" t="s">
        <v>333</v>
      </c>
      <c r="Q22" s="78"/>
      <c r="R22" s="101"/>
    </row>
    <row r="23" spans="1:33" x14ac:dyDescent="0.25">
      <c r="A23" s="58" t="s">
        <v>276</v>
      </c>
      <c r="E23" s="78" t="str">
        <f>IF('koud buffet'!B50=$AG$23,"",'koud buffet'!B50)</f>
        <v/>
      </c>
      <c r="I23" s="58" t="str">
        <f>IF('koud buffet'!F50=$AG$25,"",'koud buffet'!F50)</f>
        <v/>
      </c>
      <c r="J23" s="103">
        <f>K7</f>
        <v>0</v>
      </c>
      <c r="K23" s="99" t="str">
        <f>J7</f>
        <v>JR 1/3</v>
      </c>
      <c r="L23" s="99" t="s">
        <v>332</v>
      </c>
      <c r="M23" s="97">
        <f ca="1">Q7</f>
        <v>3.9399999999999995</v>
      </c>
      <c r="N23" s="98">
        <v>0.21</v>
      </c>
      <c r="O23" s="97">
        <f t="shared" ca="1" si="0"/>
        <v>0</v>
      </c>
      <c r="P23" s="99" t="s">
        <v>334</v>
      </c>
      <c r="Q23" s="78"/>
      <c r="R23" s="101"/>
      <c r="AG23" s="15" t="str">
        <f>matrixen!B97</f>
        <v>Kies uit deze vlees- of visspecialiteiten</v>
      </c>
    </row>
    <row r="24" spans="1:33" ht="15.75" thickBot="1" x14ac:dyDescent="0.3">
      <c r="A24" s="58" t="str">
        <f>IF('koud buffet'!B39=$AG$23,"",'koud buffet'!B39)</f>
        <v/>
      </c>
      <c r="E24" s="58" t="str">
        <f>IF('koud buffet'!F39=$AG$24,"",'koud buffet'!F39)</f>
        <v/>
      </c>
      <c r="I24" s="58" t="str">
        <f>IF('koud buffet'!F51=$AG$25,"",'koud buffet'!F51)</f>
        <v/>
      </c>
      <c r="J24" s="104">
        <f>IF(L24&gt;0,"1",0)</f>
        <v>0</v>
      </c>
      <c r="K24" s="105" t="str">
        <f>IF(L24&gt;0,"x","")</f>
        <v/>
      </c>
      <c r="L24" s="106">
        <f>Q9</f>
        <v>0</v>
      </c>
      <c r="M24" s="107" t="str">
        <f>IF(L24&gt;0,"21%","")</f>
        <v/>
      </c>
      <c r="N24" s="105" t="str">
        <f>IF(L24&gt;0,"Dep. A","")</f>
        <v/>
      </c>
      <c r="O24" s="157" t="str">
        <f>P9</f>
        <v/>
      </c>
      <c r="P24" s="157"/>
      <c r="Q24" s="157"/>
      <c r="R24" s="158"/>
      <c r="AG24" s="15" t="str">
        <f>matrixen!E97</f>
        <v>supplement 1</v>
      </c>
    </row>
    <row r="25" spans="1:33" x14ac:dyDescent="0.25">
      <c r="A25" s="58" t="str">
        <f>IF('koud buffet'!B40=$AG$23,"",'koud buffet'!B40)</f>
        <v/>
      </c>
      <c r="E25" s="58" t="str">
        <f>IF('koud buffet'!F40=$AG$24,"",'koud buffet'!F40)</f>
        <v/>
      </c>
      <c r="I25" s="58" t="str">
        <f>IF('koud buffet'!F52=$AG$25,"",'koud buffet'!F52)</f>
        <v/>
      </c>
      <c r="K25" s="108" t="s">
        <v>342</v>
      </c>
      <c r="L25" s="61">
        <f ca="1">SUM(O14:O23)+L24+O9+I9</f>
        <v>0</v>
      </c>
      <c r="M25" s="61" t="str">
        <f ca="1">IF(SUM(O14:O23)+L24+O9+I9 &lt;&gt;I12," Er is iets fout met de splitsingstabel","")</f>
        <v/>
      </c>
      <c r="AG25" s="15" t="str">
        <f>matrixen!H97</f>
        <v>supplement 2</v>
      </c>
    </row>
    <row r="26" spans="1:33" ht="15" customHeight="1" x14ac:dyDescent="0.25">
      <c r="A26" s="58" t="str">
        <f>IF('koud buffet'!B41=$AG$23,"",'koud buffet'!B41)</f>
        <v/>
      </c>
      <c r="E26" s="58" t="str">
        <f>IF('koud buffet'!F41=$AG$24,"",'koud buffet'!F41)</f>
        <v/>
      </c>
      <c r="I26" s="46"/>
      <c r="J26" s="144" t="str">
        <f ca="1">"De eventuele korting contant van 2 %, in het huidig voorstel is dit € " &amp;ROUND( I12-I13,2) &amp; " is nog niet in bovenstaande splitsing verwerkt."</f>
        <v>De eventuele korting contant van 2 %, in het huidig voorstel is dit € 0 is nog niet in bovenstaande splitsing verwerkt.</v>
      </c>
      <c r="K26" s="144"/>
      <c r="L26" s="144"/>
      <c r="M26" s="144"/>
      <c r="N26" s="144"/>
      <c r="O26" s="144"/>
      <c r="P26" s="144"/>
      <c r="Q26" s="144"/>
      <c r="R26" s="144"/>
    </row>
    <row r="27" spans="1:33" ht="15.75" thickBot="1" x14ac:dyDescent="0.3">
      <c r="A27" s="58" t="str">
        <f>IF('koud buffet'!B42=$AG$23,"",'koud buffet'!B42)</f>
        <v/>
      </c>
      <c r="E27" s="58" t="str">
        <f>IF('koud buffet'!F42=$AG$24,"",'koud buffet'!F42)</f>
        <v/>
      </c>
      <c r="I27" s="78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1:33" ht="15.75" thickTop="1" x14ac:dyDescent="0.25">
      <c r="A28" s="58" t="str">
        <f>IF('koud buffet'!B43=$AG$23,"",'koud buffet'!B43)</f>
        <v/>
      </c>
      <c r="E28" s="58" t="str">
        <f>IF('koud buffet'!F43=$AG$24,"",'koud buffet'!F43)</f>
        <v/>
      </c>
      <c r="I28" s="78"/>
      <c r="J28" s="14" t="str">
        <f>IF(M28&lt;&gt;"","Detail van het aperitief:","")</f>
        <v/>
      </c>
      <c r="M28" s="58" t="str">
        <f>A15</f>
        <v/>
      </c>
      <c r="R28" s="60">
        <f>'koud buffet'!F13</f>
        <v>0</v>
      </c>
    </row>
    <row r="29" spans="1:33" x14ac:dyDescent="0.25">
      <c r="A29" s="58" t="str">
        <f>IF('koud buffet'!B44=$AG$23,"",'koud buffet'!B44)</f>
        <v/>
      </c>
      <c r="E29" s="58" t="str">
        <f>IF('koud buffet'!F44=$AG$24,"",'koud buffet'!F44)</f>
        <v/>
      </c>
      <c r="I29" s="78"/>
      <c r="R29" s="60">
        <f>'koud buffet'!F14</f>
        <v>0</v>
      </c>
    </row>
    <row r="30" spans="1:33" x14ac:dyDescent="0.25">
      <c r="A30" s="58" t="str">
        <f>IF('koud buffet'!B45=$AG$23,"",'koud buffet'!B45)</f>
        <v/>
      </c>
      <c r="E30" s="58" t="str">
        <f>IF('koud buffet'!F45=$AG$24,"",'koud buffet'!F45)</f>
        <v/>
      </c>
      <c r="I30" s="78"/>
      <c r="J30" s="58">
        <f>'koud buffet'!G13</f>
        <v>0</v>
      </c>
      <c r="R30" s="60">
        <f>'koud buffet'!F15</f>
        <v>0</v>
      </c>
    </row>
    <row r="31" spans="1:33" x14ac:dyDescent="0.25">
      <c r="A31" s="58" t="str">
        <f>IF('koud buffet'!B46=$AG$23,"",'koud buffet'!B46)</f>
        <v/>
      </c>
      <c r="E31" s="58" t="str">
        <f>IF('koud buffet'!F46=$AG$24,"",'koud buffet'!F46)</f>
        <v/>
      </c>
      <c r="I31" s="78"/>
      <c r="J31" s="58">
        <f>'koud buffet'!G14</f>
        <v>0</v>
      </c>
      <c r="R31" s="60">
        <f>'koud buffet'!F16</f>
        <v>0</v>
      </c>
    </row>
    <row r="32" spans="1:33" x14ac:dyDescent="0.25">
      <c r="A32" s="58" t="str">
        <f>IF('koud buffet'!B47=$AG$23,"",'koud buffet'!B47)</f>
        <v/>
      </c>
      <c r="E32" s="58" t="str">
        <f>IF('koud buffet'!F47=$AG$24,"",'koud buffet'!F47)</f>
        <v/>
      </c>
      <c r="J32" s="58">
        <f>'koud buffet'!G15</f>
        <v>0</v>
      </c>
      <c r="R32" s="60">
        <f>'koud buffet'!F17</f>
        <v>0</v>
      </c>
    </row>
    <row r="33" spans="1:18" x14ac:dyDescent="0.25">
      <c r="A33" s="78" t="str">
        <f>IF('koud buffet'!B48=$AG$23,"",'koud buffet'!B48)</f>
        <v/>
      </c>
      <c r="B33" s="78"/>
      <c r="C33" s="78"/>
      <c r="D33" s="78"/>
      <c r="E33" s="146" t="str">
        <f>'koud buffet'!H96</f>
        <v>Huiswijn, bieren en frisdranken als forfait</v>
      </c>
      <c r="F33" s="146"/>
      <c r="G33" s="146"/>
      <c r="H33" s="146"/>
      <c r="I33" s="146"/>
      <c r="J33" s="58">
        <f>'koud buffet'!G16</f>
        <v>0</v>
      </c>
      <c r="R33" s="60">
        <f>'koud buffet'!F18</f>
        <v>0</v>
      </c>
    </row>
    <row r="34" spans="1:18" x14ac:dyDescent="0.25">
      <c r="A34" s="79" t="str">
        <f>IF('koud buffet'!B49=$AG$23,"",'koud buffet'!B49)</f>
        <v/>
      </c>
      <c r="B34" s="79"/>
      <c r="C34" s="79"/>
      <c r="D34" s="79"/>
      <c r="E34" s="147"/>
      <c r="F34" s="147"/>
      <c r="G34" s="147"/>
      <c r="H34" s="147"/>
      <c r="I34" s="147"/>
      <c r="J34" s="58">
        <f>'koud buffet'!G17</f>
        <v>0</v>
      </c>
    </row>
    <row r="35" spans="1:18" x14ac:dyDescent="0.25">
      <c r="A35" s="58" t="str">
        <f>'koud buffet'!H97</f>
        <v/>
      </c>
      <c r="I35" s="78"/>
      <c r="J35" s="58">
        <f>'koud buffet'!G18</f>
        <v>0</v>
      </c>
    </row>
    <row r="36" spans="1:18" x14ac:dyDescent="0.25">
      <c r="A36" s="79" t="str">
        <f>'koud buffet'!H98</f>
        <v/>
      </c>
      <c r="B36" s="79"/>
      <c r="C36" s="79"/>
      <c r="D36" s="79"/>
      <c r="E36" s="79"/>
      <c r="F36" s="79"/>
      <c r="G36" s="79"/>
      <c r="H36" s="79"/>
      <c r="I36" s="79"/>
      <c r="J36" s="58">
        <f>'koud buffet'!G19</f>
        <v>0</v>
      </c>
    </row>
    <row r="37" spans="1:18" x14ac:dyDescent="0.25">
      <c r="A37" s="145" t="str">
        <f>'koud buffet'!H99  &amp; " " &amp; 'koud buffet'!B76</f>
        <v>Keuze drank na de maaltijd: Alle drank na de maaltijd komt op één rekening en wordt door de organisator van het feest betaald</v>
      </c>
      <c r="B37" s="145"/>
      <c r="C37" s="145"/>
      <c r="D37" s="145"/>
      <c r="E37" s="145"/>
      <c r="F37" s="145"/>
      <c r="G37" s="145"/>
      <c r="H37" s="145"/>
      <c r="I37" s="145"/>
      <c r="J37" s="58">
        <f>'koud buffet'!G20</f>
        <v>0</v>
      </c>
    </row>
    <row r="38" spans="1:18" x14ac:dyDescent="0.25">
      <c r="A38" s="144"/>
      <c r="B38" s="144"/>
      <c r="C38" s="144"/>
      <c r="D38" s="144"/>
      <c r="E38" s="144"/>
      <c r="F38" s="144"/>
      <c r="G38" s="144"/>
      <c r="H38" s="144"/>
      <c r="I38" s="144"/>
      <c r="J38" s="58">
        <f>'koud buffet'!G21</f>
        <v>0</v>
      </c>
    </row>
    <row r="39" spans="1:18" x14ac:dyDescent="0.25">
      <c r="A39" s="144" t="str">
        <f>"Opmerking : " &amp;'koud buffet'!K104</f>
        <v xml:space="preserve">Opmerking : </v>
      </c>
      <c r="B39" s="144"/>
      <c r="C39" s="144"/>
      <c r="D39" s="144"/>
      <c r="E39" s="144"/>
      <c r="F39" s="144"/>
      <c r="G39" s="144"/>
      <c r="H39" s="144"/>
      <c r="I39" s="144"/>
      <c r="J39" s="58">
        <f>'koud buffet'!G22</f>
        <v>0</v>
      </c>
    </row>
    <row r="40" spans="1:18" ht="15" customHeight="1" x14ac:dyDescent="0.25">
      <c r="A40" s="144"/>
      <c r="B40" s="144"/>
      <c r="C40" s="144"/>
      <c r="D40" s="144"/>
      <c r="E40" s="144"/>
      <c r="F40" s="144"/>
      <c r="G40" s="144"/>
      <c r="H40" s="144"/>
      <c r="I40" s="144"/>
      <c r="J40" s="58">
        <f>'koud buffet'!G23</f>
        <v>0</v>
      </c>
    </row>
    <row r="41" spans="1:18" x14ac:dyDescent="0.25">
      <c r="A41" s="144"/>
      <c r="B41" s="144"/>
      <c r="C41" s="144"/>
      <c r="D41" s="144"/>
      <c r="E41" s="144"/>
      <c r="F41" s="144"/>
      <c r="G41" s="144"/>
      <c r="H41" s="144"/>
      <c r="I41" s="144"/>
      <c r="J41" s="58" t="str">
        <f>'koud buffet'!G24</f>
        <v/>
      </c>
    </row>
    <row r="42" spans="1:18" x14ac:dyDescent="0.25">
      <c r="B42" s="60" t="s">
        <v>216</v>
      </c>
      <c r="C42" s="65" t="str">
        <f>'koud buffet'!G76</f>
        <v>nee</v>
      </c>
      <c r="F42" s="60" t="s">
        <v>220</v>
      </c>
      <c r="G42" s="65" t="str">
        <f>'koud buffet'!G78</f>
        <v>nee</v>
      </c>
      <c r="I42" s="60" t="s">
        <v>219</v>
      </c>
      <c r="J42" s="58">
        <f>'koud buffet'!G25</f>
        <v>0</v>
      </c>
    </row>
    <row r="43" spans="1:18" x14ac:dyDescent="0.25">
      <c r="B43" s="60" t="s">
        <v>218</v>
      </c>
      <c r="C43" s="65" t="str">
        <f>'koud buffet'!I76</f>
        <v>nee</v>
      </c>
      <c r="F43" s="60" t="str">
        <f>'koud buffet'!H78</f>
        <v xml:space="preserve">Allergenen: </v>
      </c>
      <c r="G43" s="65" t="str">
        <f>'koud buffet'!I78</f>
        <v>nee</v>
      </c>
      <c r="I43" s="65" t="str">
        <f>'koud buffet'!K76</f>
        <v>nee</v>
      </c>
      <c r="J43" s="58">
        <f>'koud buffet'!G26</f>
        <v>0</v>
      </c>
    </row>
    <row r="44" spans="1:18" ht="15" customHeight="1" x14ac:dyDescent="0.25">
      <c r="A44" s="144" t="str">
        <f>'koud buffet'!B78 &amp; " " &amp; 'koud buffet'!B79</f>
        <v>Wijze van betaling: Betaling op de dag zelf (cash of bancontact), u bekomt 2% korting op het totaal</v>
      </c>
      <c r="B44" s="144"/>
      <c r="C44" s="144"/>
      <c r="D44" s="144"/>
      <c r="E44" s="144"/>
      <c r="F44" s="144"/>
      <c r="G44" s="144"/>
      <c r="H44" s="144"/>
      <c r="I44" s="60" t="s">
        <v>330</v>
      </c>
      <c r="J44" s="14" t="str">
        <f>IF(A35&lt;&gt;"","Detail van het dessert:","")</f>
        <v/>
      </c>
    </row>
    <row r="45" spans="1:18" x14ac:dyDescent="0.25">
      <c r="A45" s="144"/>
      <c r="B45" s="144"/>
      <c r="C45" s="144"/>
      <c r="D45" s="144"/>
      <c r="E45" s="144"/>
      <c r="F45" s="144"/>
      <c r="G45" s="144"/>
      <c r="H45" s="144"/>
      <c r="I45" s="65" t="str">
        <f>'koud buffet'!K105</f>
        <v>nee</v>
      </c>
      <c r="J45" s="58">
        <f>IF('koud buffet'!$B$59=matrixen!$B$132,'koud buffet'!B62 &amp; ", " &amp; 'koud buffet'!B63,'koud buffet'!F59)</f>
        <v>0</v>
      </c>
    </row>
    <row r="46" spans="1:18" x14ac:dyDescent="0.25">
      <c r="A46" s="59" t="s">
        <v>269</v>
      </c>
      <c r="I46" s="73">
        <f>C7-9</f>
        <v>-9</v>
      </c>
      <c r="J46" s="58">
        <f>IF('koud buffet'!$B$59=matrixen!$B$132,'koud buffet'!B64 &amp; ", " &amp; 'koud buffet'!B65,'koud buffet'!F60)</f>
        <v>0</v>
      </c>
    </row>
    <row r="47" spans="1:18" x14ac:dyDescent="0.25">
      <c r="A47" s="59" t="s">
        <v>270</v>
      </c>
      <c r="J47" s="58">
        <f>IF('koud buffet'!$B$59=matrixen!$B$132,'koud buffet'!B66 &amp; ", " &amp; 'koud buffet'!B67,'koud buffet'!F61)</f>
        <v>0</v>
      </c>
    </row>
    <row r="48" spans="1:18" x14ac:dyDescent="0.25">
      <c r="A48" s="72" t="s">
        <v>271</v>
      </c>
      <c r="J48" s="58">
        <f>IF('koud buffet'!$B$59=matrixen!$B$132,'koud buffet'!B68,'koud buffet'!F62)</f>
        <v>0</v>
      </c>
    </row>
    <row r="49" spans="1:10" x14ac:dyDescent="0.25">
      <c r="A49" s="72" t="s">
        <v>272</v>
      </c>
      <c r="H49" s="64" t="s">
        <v>250</v>
      </c>
      <c r="I49" s="80" t="str">
        <f>'koud buffet'!K101</f>
        <v>ja</v>
      </c>
      <c r="J49" s="58">
        <f>'koud buffet'!F71</f>
        <v>0</v>
      </c>
    </row>
    <row r="50" spans="1:10" x14ac:dyDescent="0.25">
      <c r="A50" s="72" t="s">
        <v>273</v>
      </c>
      <c r="E50" s="59" t="s">
        <v>274</v>
      </c>
      <c r="H50" s="59" t="s">
        <v>275</v>
      </c>
      <c r="J50" s="58">
        <f>'koud buffet'!F72</f>
        <v>0</v>
      </c>
    </row>
  </sheetData>
  <sheetProtection algorithmName="SHA-512" hashValue="k62dfmZW4/9jz9rvjrf2mPUx7zD/7+jpDv3TYg5sW0naAmm5Qgg/Mn/OHWAUBob9UP85BuYDgAqpU0ZpW4btBQ==" saltValue="crNdH6EEwUKwE7uw0Fx0Ow==" spinCount="100000" sheet="1" objects="1" scenarios="1" selectLockedCells="1"/>
  <mergeCells count="15">
    <mergeCell ref="A44:H45"/>
    <mergeCell ref="A37:I38"/>
    <mergeCell ref="A39:I41"/>
    <mergeCell ref="E33:I34"/>
    <mergeCell ref="Q3:Q4"/>
    <mergeCell ref="O3:O4"/>
    <mergeCell ref="P3:P4"/>
    <mergeCell ref="J17:R17"/>
    <mergeCell ref="O24:R24"/>
    <mergeCell ref="J26:R27"/>
    <mergeCell ref="R3:R4"/>
    <mergeCell ref="M10:N10"/>
    <mergeCell ref="J13:L13"/>
    <mergeCell ref="M13:Q13"/>
    <mergeCell ref="J15:R15"/>
  </mergeCells>
  <conditionalFormatting sqref="C42">
    <cfRule type="cellIs" dxfId="2" priority="13" operator="equal">
      <formula>"ja"</formula>
    </cfRule>
    <cfRule type="cellIs" dxfId="1" priority="14" operator="equal">
      <formula>"ja"</formula>
    </cfRule>
  </conditionalFormatting>
  <conditionalFormatting sqref="M13:Q13">
    <cfRule type="containsText" dxfId="0" priority="1" operator="containsText" text="onmogelijk">
      <formula>NOT(ISERROR(SEARCH("onmogelijk",M13)))</formula>
    </cfRule>
  </conditionalFormatting>
  <dataValidations disablePrompts="1" count="1">
    <dataValidation type="whole" allowBlank="1" showInputMessage="1" showErrorMessage="1" errorTitle="Fout" error="U kunt niet meer ingeven dan het totaal aantal volwassenen._x000a_" sqref="N12" xr:uid="{00000000-0002-0000-0300-000000000000}">
      <formula1>0</formula1>
      <formula2>K5</formula2>
    </dataValidation>
  </dataValidations>
  <pageMargins left="0.7" right="0.7" top="0.75" bottom="0.75" header="0.3" footer="0.3"/>
  <pageSetup paperSize="9" scale="9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ruk_voorstel_af">
                <anchor moveWithCells="1" sizeWithCells="1">
                  <from>
                    <xdr:col>6</xdr:col>
                    <xdr:colOff>495300</xdr:colOff>
                    <xdr:row>0</xdr:row>
                    <xdr:rowOff>66675</xdr:rowOff>
                  </from>
                  <to>
                    <xdr:col>8</xdr:col>
                    <xdr:colOff>685800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activeer">
                <anchor moveWithCells="1" sizeWithCells="1">
                  <from>
                    <xdr:col>18</xdr:col>
                    <xdr:colOff>180975</xdr:colOff>
                    <xdr:row>2</xdr:row>
                    <xdr:rowOff>9525</xdr:rowOff>
                  </from>
                  <to>
                    <xdr:col>19</xdr:col>
                    <xdr:colOff>333375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desactiveer">
                <anchor moveWithCells="1" sizeWithCells="1">
                  <from>
                    <xdr:col>18</xdr:col>
                    <xdr:colOff>209550</xdr:colOff>
                    <xdr:row>4</xdr:row>
                    <xdr:rowOff>28575</xdr:rowOff>
                  </from>
                  <to>
                    <xdr:col>19</xdr:col>
                    <xdr:colOff>333375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lad4.BAH">
                <anchor moveWithCells="1" sizeWithCells="1">
                  <from>
                    <xdr:col>18</xdr:col>
                    <xdr:colOff>228600</xdr:colOff>
                    <xdr:row>6</xdr:row>
                    <xdr:rowOff>38100</xdr:rowOff>
                  </from>
                  <to>
                    <xdr:col>19</xdr:col>
                    <xdr:colOff>352425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Druk_voorstel_1_af">
                <anchor moveWithCells="1" sizeWithCells="1">
                  <from>
                    <xdr:col>18</xdr:col>
                    <xdr:colOff>247650</xdr:colOff>
                    <xdr:row>7</xdr:row>
                    <xdr:rowOff>161925</xdr:rowOff>
                  </from>
                  <to>
                    <xdr:col>19</xdr:col>
                    <xdr:colOff>209550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Druk_voorstel_2_af">
                <anchor moveWithCells="1" sizeWithCells="1">
                  <from>
                    <xdr:col>18</xdr:col>
                    <xdr:colOff>266700</xdr:colOff>
                    <xdr:row>9</xdr:row>
                    <xdr:rowOff>152400</xdr:rowOff>
                  </from>
                  <to>
                    <xdr:col>19</xdr:col>
                    <xdr:colOff>219075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koud buffet</vt:lpstr>
      <vt:lpstr>matrixen</vt:lpstr>
      <vt:lpstr>Algemene verkoopsvoorwaarden</vt:lpstr>
      <vt:lpstr>Reservatievoorstel</vt:lpstr>
      <vt:lpstr>'Algemene verkoopsvoorwaarden'!Afdrukbereik</vt:lpstr>
      <vt:lpstr>dessert</vt:lpstr>
      <vt:lpstr>minidessert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2019-10-31T16:24:54Z</dcterms:modified>
</cp:coreProperties>
</file>