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codeName="{AE6600E7-7A62-396C-DE95-9942FA9DD81E}"/>
  <workbookPr filterPrivacy="1" codeName="ThisWorkbook" defaultThemeVersion="124226"/>
  <xr:revisionPtr revIDLastSave="0" documentId="13_ncr:1_{D079B82D-A155-41E5-856F-628D2A4D459C}" xr6:coauthVersionLast="47" xr6:coauthVersionMax="47" xr10:uidLastSave="{00000000-0000-0000-0000-000000000000}"/>
  <bookViews>
    <workbookView xWindow="-120" yWindow="-120" windowWidth="29040" windowHeight="15720" xr2:uid="{00000000-000D-0000-FFFF-FFFF00000000}"/>
  </bookViews>
  <sheets>
    <sheet name="recepties en babyborrels" sheetId="2" r:id="rId1"/>
    <sheet name="matrixen" sheetId="1" state="hidden" r:id="rId2"/>
    <sheet name="Algemene verkoopsvoorwaarden" sheetId="3" r:id="rId3"/>
    <sheet name="Reservatievoorstel" sheetId="4" r:id="rId4"/>
  </sheets>
  <definedNames>
    <definedName name="_xlnm.Print_Area" localSheetId="2">'Algemene verkoopsvoorwaarden'!$A$1:$A$49</definedName>
    <definedName name="_xlnm.Print_Area" localSheetId="3">Reservatievoorstel!$A$1:$S$51</definedName>
    <definedName name="dessert">matrixen!$AD$76:$AD$92</definedName>
    <definedName name="dessertprijs">matrixen!$AD$76:$AI$92</definedName>
    <definedName name="hapjes">matrixen!$X$50:$X$97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8" i="4" l="1"/>
  <c r="I29" i="4" s="1"/>
  <c r="I27" i="4"/>
  <c r="I23" i="4"/>
  <c r="I25" i="4"/>
  <c r="I26" i="4"/>
  <c r="I24" i="4"/>
  <c r="C58" i="2"/>
  <c r="C59" i="2"/>
  <c r="C57" i="2"/>
  <c r="B62" i="2"/>
  <c r="B64" i="2"/>
  <c r="B65" i="2"/>
  <c r="B66" i="2"/>
  <c r="B61" i="2"/>
  <c r="D47" i="2"/>
  <c r="D45" i="2"/>
  <c r="D43" i="2"/>
  <c r="D30" i="2"/>
  <c r="J50" i="4" s="1"/>
  <c r="B3" i="2"/>
  <c r="C1" i="4"/>
  <c r="J49" i="4" l="1"/>
  <c r="N22" i="4"/>
  <c r="N20" i="4"/>
  <c r="N18" i="4"/>
  <c r="AC66" i="2" l="1"/>
  <c r="AC67" i="2"/>
  <c r="AC68" i="2"/>
  <c r="AC69" i="2"/>
  <c r="AC70" i="2"/>
  <c r="AA115" i="2" l="1"/>
  <c r="AA116" i="2"/>
  <c r="AA117" i="2"/>
  <c r="AA118" i="2"/>
  <c r="AA119" i="2"/>
  <c r="AA120" i="2"/>
  <c r="AA114" i="2"/>
  <c r="B84" i="2"/>
  <c r="B82" i="2"/>
  <c r="B80" i="2"/>
  <c r="D85" i="2" l="1"/>
  <c r="D83" i="2"/>
  <c r="D81" i="2"/>
  <c r="A32" i="4"/>
  <c r="A31" i="4"/>
  <c r="A30" i="4"/>
  <c r="B38" i="2" l="1"/>
  <c r="D36" i="2" l="1"/>
  <c r="E47" i="2" l="1"/>
  <c r="A33" i="4" s="1"/>
  <c r="B46" i="2"/>
  <c r="I13" i="4" l="1"/>
  <c r="H13" i="4"/>
  <c r="B31" i="2"/>
  <c r="D33" i="2"/>
  <c r="Q2" i="4" s="1"/>
  <c r="P2" i="4" s="1"/>
  <c r="D12" i="2"/>
  <c r="AA107" i="2" l="1"/>
  <c r="AA108" i="2"/>
  <c r="AA109" i="2"/>
  <c r="AA110" i="2"/>
  <c r="AA111" i="2"/>
  <c r="L1" i="2" l="1"/>
  <c r="F12" i="2" l="1"/>
  <c r="D14" i="2"/>
  <c r="B23" i="2" l="1"/>
  <c r="AA70" i="2" l="1"/>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63" i="2"/>
  <c r="AA164" i="2"/>
  <c r="AA165" i="2"/>
  <c r="AA166" i="2"/>
  <c r="AA167" i="2"/>
  <c r="AA168" i="2"/>
  <c r="AA169" i="2"/>
  <c r="AA170" i="2"/>
  <c r="AA171" i="2"/>
  <c r="AA172" i="2"/>
  <c r="AA173" i="2"/>
  <c r="AA69" i="2"/>
  <c r="B14" i="2" l="1"/>
  <c r="D25" i="2"/>
  <c r="D26" i="2"/>
  <c r="D24" i="2"/>
  <c r="F31" i="2"/>
  <c r="J17" i="2"/>
  <c r="B24" i="2" l="1"/>
  <c r="A26" i="4"/>
  <c r="F21" i="2"/>
  <c r="D29" i="2" l="1"/>
  <c r="A29" i="4" l="1"/>
  <c r="A28" i="4"/>
  <c r="A27" i="4"/>
  <c r="AC57" i="2" l="1"/>
  <c r="AC58" i="2"/>
  <c r="AC59" i="2"/>
  <c r="AC60" i="2"/>
  <c r="AC61" i="2"/>
  <c r="AC62" i="2"/>
  <c r="AC63" i="2"/>
  <c r="AC64" i="2"/>
  <c r="AC65" i="2"/>
  <c r="AA56" i="2"/>
  <c r="D41" i="2" l="1"/>
  <c r="O9" i="4"/>
  <c r="M11" i="4" s="1"/>
  <c r="F7" i="4" l="1"/>
  <c r="AA53" i="2"/>
  <c r="AA54" i="2"/>
  <c r="AA52" i="2"/>
  <c r="AA23" i="2"/>
  <c r="AA22" i="2"/>
  <c r="A36" i="4" l="1"/>
  <c r="H41" i="2"/>
  <c r="J40" i="2"/>
  <c r="J39" i="2"/>
  <c r="J38" i="2"/>
  <c r="J37" i="2"/>
  <c r="J36" i="2"/>
  <c r="J35" i="2"/>
  <c r="J34" i="2"/>
  <c r="J33" i="2"/>
  <c r="J32" i="2"/>
  <c r="J31" i="2"/>
  <c r="J30" i="2"/>
  <c r="J29" i="2"/>
  <c r="J28" i="2"/>
  <c r="J27" i="2"/>
  <c r="J26" i="2"/>
  <c r="J25" i="2"/>
  <c r="J24" i="2"/>
  <c r="J23" i="2"/>
  <c r="J22" i="2"/>
  <c r="J21" i="2"/>
  <c r="J20" i="2"/>
  <c r="J19" i="2"/>
  <c r="J18" i="2"/>
  <c r="J16" i="2"/>
  <c r="J15" i="2"/>
  <c r="J14" i="2"/>
  <c r="J13" i="2"/>
  <c r="J12" i="2"/>
  <c r="F19" i="2"/>
  <c r="F18" i="2"/>
  <c r="F17" i="2"/>
  <c r="F16" i="2"/>
  <c r="F15" i="2"/>
  <c r="F14" i="2"/>
  <c r="F13" i="2"/>
  <c r="AA49" i="2" l="1"/>
  <c r="AA48" i="2"/>
  <c r="F45" i="2" l="1"/>
  <c r="C45" i="4"/>
  <c r="I16" i="4" l="1"/>
  <c r="K23" i="4" l="1"/>
  <c r="K22" i="4"/>
  <c r="K21" i="4"/>
  <c r="K20" i="4"/>
  <c r="K19" i="4"/>
  <c r="K18" i="4"/>
  <c r="L11" i="4"/>
  <c r="A38" i="4" l="1"/>
  <c r="L48" i="2"/>
  <c r="D22" i="4" s="1"/>
  <c r="A22" i="4" s="1"/>
  <c r="D43" i="4" l="1"/>
  <c r="K67" i="2"/>
  <c r="I20" i="4" l="1"/>
  <c r="B6" i="4"/>
  <c r="A6" i="4"/>
  <c r="A35" i="4"/>
  <c r="I11" i="4"/>
  <c r="C5" i="4"/>
  <c r="C7" i="4"/>
  <c r="I46" i="4" s="1"/>
  <c r="I49" i="4"/>
  <c r="D45" i="4"/>
  <c r="D44" i="4"/>
  <c r="H45" i="4"/>
  <c r="H44" i="4"/>
  <c r="H43" i="4"/>
  <c r="H9" i="4"/>
  <c r="H8" i="4"/>
  <c r="E12" i="4"/>
  <c r="L8" i="4" s="1"/>
  <c r="D12" i="4"/>
  <c r="K8" i="4" s="1"/>
  <c r="D11" i="4"/>
  <c r="K7" i="4" s="1"/>
  <c r="D10" i="4"/>
  <c r="K6" i="4" s="1"/>
  <c r="D9" i="4"/>
  <c r="K5" i="4" s="1"/>
  <c r="C3" i="4"/>
  <c r="C4" i="4"/>
  <c r="C2" i="4"/>
  <c r="AA47" i="2"/>
  <c r="AA46" i="2"/>
  <c r="AA43" i="2"/>
  <c r="AA44" i="2"/>
  <c r="AA42" i="2"/>
  <c r="AA30" i="2"/>
  <c r="AA31" i="2"/>
  <c r="AA32" i="2"/>
  <c r="AA33" i="2"/>
  <c r="AA34" i="2"/>
  <c r="AA35" i="2"/>
  <c r="AA36" i="2"/>
  <c r="AA37" i="2"/>
  <c r="AA38" i="2"/>
  <c r="AA39" i="2"/>
  <c r="AA40" i="2"/>
  <c r="AA29" i="2"/>
  <c r="AA24" i="2"/>
  <c r="AA25" i="2"/>
  <c r="AA26" i="2"/>
  <c r="AA27" i="2"/>
  <c r="AA13" i="2"/>
  <c r="AA14" i="2"/>
  <c r="AA15" i="2"/>
  <c r="AA16" i="2"/>
  <c r="AA17" i="2"/>
  <c r="AA18" i="2"/>
  <c r="AA19" i="2"/>
  <c r="AA20" i="2"/>
  <c r="AA21" i="2"/>
  <c r="AA12" i="2"/>
  <c r="J45" i="2"/>
  <c r="J44" i="2"/>
  <c r="E33" i="2"/>
  <c r="L58" i="2" s="1"/>
  <c r="J32" i="4"/>
  <c r="J31" i="4"/>
  <c r="D21" i="2"/>
  <c r="D7" i="2" s="1"/>
  <c r="J30" i="4"/>
  <c r="L50" i="2" l="1"/>
  <c r="H50" i="2" s="1"/>
  <c r="D21" i="4" s="1"/>
  <c r="A21" i="4" s="1"/>
  <c r="M8" i="4"/>
  <c r="N8" i="4" s="1"/>
  <c r="Q8" i="4" s="1"/>
  <c r="R8" i="4" s="1"/>
  <c r="J23" i="4"/>
  <c r="J22" i="4"/>
  <c r="J21" i="4"/>
  <c r="J20" i="4"/>
  <c r="D8" i="4"/>
  <c r="I12" i="4" s="1"/>
  <c r="L49" i="2"/>
  <c r="H49" i="2" s="1"/>
  <c r="A20" i="4" s="1"/>
  <c r="A25" i="4"/>
  <c r="P7" i="4" l="1"/>
  <c r="P6" i="4"/>
  <c r="P5" i="4"/>
  <c r="I50" i="2"/>
  <c r="J29" i="4"/>
  <c r="N30" i="4"/>
  <c r="P3" i="4"/>
  <c r="D9" i="2"/>
  <c r="O8" i="4"/>
  <c r="J40" i="4" l="1"/>
  <c r="J44" i="4"/>
  <c r="J43" i="4"/>
  <c r="Q39" i="4"/>
  <c r="J36" i="4"/>
  <c r="J63" i="4"/>
  <c r="J35" i="4"/>
  <c r="J33" i="4"/>
  <c r="Q40" i="4"/>
  <c r="J42" i="4"/>
  <c r="J28" i="4"/>
  <c r="J47" i="4"/>
  <c r="Q44" i="4"/>
  <c r="J38" i="4"/>
  <c r="J41" i="4"/>
  <c r="J37" i="4"/>
  <c r="Q43" i="4"/>
  <c r="J45" i="4"/>
  <c r="J34" i="4"/>
  <c r="Q41" i="4"/>
  <c r="Q42" i="4"/>
  <c r="Q47" i="4"/>
  <c r="Q38" i="4"/>
  <c r="J39" i="4"/>
  <c r="J46" i="4"/>
  <c r="Q45" i="4"/>
  <c r="Q46" i="4"/>
  <c r="H7" i="2"/>
  <c r="J7" i="2"/>
  <c r="N12" i="4"/>
  <c r="J15" i="4" l="1"/>
  <c r="J14" i="4"/>
  <c r="J17" i="4"/>
  <c r="J16" i="4"/>
  <c r="J19" i="4" l="1"/>
  <c r="J18" i="4"/>
  <c r="E10" i="4"/>
  <c r="L6" i="4" s="1"/>
  <c r="M6" i="4" s="1"/>
  <c r="N6" i="4" s="1"/>
  <c r="E9" i="4" l="1"/>
  <c r="A17" i="4" s="1"/>
  <c r="E11" i="4"/>
  <c r="L7" i="4" s="1"/>
  <c r="M7" i="4" s="1"/>
  <c r="N7" i="4" s="1"/>
  <c r="I10" i="4" l="1"/>
  <c r="Q1" i="4"/>
  <c r="L5" i="4" s="1"/>
  <c r="M5" i="4" s="1"/>
  <c r="N5" i="4" l="1"/>
  <c r="Q9" i="4"/>
  <c r="I14" i="4" l="1"/>
  <c r="F68" i="2" s="1"/>
  <c r="F71" i="2" s="1"/>
  <c r="F72" i="2" s="1"/>
  <c r="I15" i="4" s="1"/>
  <c r="J26" i="4" s="1"/>
  <c r="O24" i="4"/>
  <c r="L24" i="4"/>
  <c r="J24" i="4" s="1"/>
  <c r="M13" i="4"/>
  <c r="M14" i="4"/>
  <c r="O14" i="4" s="1"/>
  <c r="M18" i="4"/>
  <c r="O18" i="4" s="1"/>
  <c r="O5" i="4"/>
  <c r="Q6" i="4"/>
  <c r="Q5" i="4"/>
  <c r="N24" i="4" l="1"/>
  <c r="K24" i="4"/>
  <c r="M24" i="4"/>
  <c r="M21" i="4"/>
  <c r="O21" i="4" s="1"/>
  <c r="R6" i="4"/>
  <c r="O7" i="4"/>
  <c r="M22" i="4"/>
  <c r="O22" i="4" s="1"/>
  <c r="M19" i="4"/>
  <c r="O19" i="4" s="1"/>
  <c r="M16" i="4"/>
  <c r="O16" i="4" s="1"/>
  <c r="R5" i="4"/>
  <c r="Q7" i="4"/>
  <c r="O6" i="4"/>
  <c r="M20" i="4"/>
  <c r="O20" i="4" s="1"/>
  <c r="R7" i="4" l="1"/>
  <c r="M23" i="4"/>
  <c r="O23" i="4" s="1"/>
  <c r="L25" i="4" s="1"/>
  <c r="M25" i="4" l="1"/>
  <c r="AA11" i="2" l="1"/>
  <c r="D6" i="2" s="1"/>
</calcChain>
</file>

<file path=xl/sharedStrings.xml><?xml version="1.0" encoding="utf-8"?>
<sst xmlns="http://schemas.openxmlformats.org/spreadsheetml/2006/main" count="781" uniqueCount="472">
  <si>
    <t>Pineau des charentes wit</t>
  </si>
  <si>
    <t>Maison (basis safari)</t>
  </si>
  <si>
    <t>Kir royale</t>
  </si>
  <si>
    <t>Sherry dry</t>
  </si>
  <si>
    <t>Porto</t>
  </si>
  <si>
    <t>Martini (wit/rood)</t>
  </si>
  <si>
    <t>Kir</t>
  </si>
  <si>
    <t>Schuimwijn</t>
  </si>
  <si>
    <t>Warme toostjes per stuk</t>
  </si>
  <si>
    <t>Koude toostjes per stuk</t>
  </si>
  <si>
    <t>Nootjes, chips en zoutkoekjes zoveel u wenst,  per pers.</t>
  </si>
  <si>
    <t>aperitiefglaasjes per stuk</t>
  </si>
  <si>
    <t>Rauwe groenten (wortel, bloemkool, cocktailsaus) prijs per persoon:</t>
  </si>
  <si>
    <t>Oesters per stuk warm of koud</t>
  </si>
  <si>
    <t xml:space="preserve">€ </t>
  </si>
  <si>
    <t>“3 koude voorgerechtjes”</t>
  </si>
  <si>
    <t>koud hapje met gerookte zalm</t>
  </si>
  <si>
    <t>koud hapje met grijze garnalen</t>
  </si>
  <si>
    <t>“soepje”</t>
  </si>
  <si>
    <t>1 mini soepje tomatenroom of vissoepje</t>
  </si>
  <si>
    <t>“3 warme gerechtjes”</t>
  </si>
  <si>
    <t>kippenboutje</t>
  </si>
  <si>
    <t>mini loempia</t>
  </si>
  <si>
    <t>mini croque monsieur</t>
  </si>
  <si>
    <t>“2 dessertjes”</t>
  </si>
  <si>
    <t>mini-brochetje met druifje, ananas en meloenbolletje</t>
  </si>
  <si>
    <t>mini confituurtaartje</t>
  </si>
  <si>
    <t>Met deze formule hebben uw gasten ook een maaltijd genomen.</t>
  </si>
  <si>
    <t xml:space="preserve">All-in maaltijd - receptieformule van maximaal 3u30 </t>
  </si>
  <si>
    <t>Verbruik daarbuiten wordt extra gerekend</t>
  </si>
  <si>
    <t xml:space="preserve">Buffetje no 1: </t>
  </si>
  <si>
    <t>Mini broodjes</t>
  </si>
  <si>
    <t>Gekookte ham</t>
  </si>
  <si>
    <t>Gerookte ham</t>
  </si>
  <si>
    <t>pastei</t>
  </si>
  <si>
    <t>Tomatenroomsoep</t>
  </si>
  <si>
    <t>Koffie</t>
  </si>
  <si>
    <t>Javanais</t>
  </si>
  <si>
    <t>Speculoostaart</t>
  </si>
  <si>
    <t>(naarmate de groep vergroot kan een derde soort dessert gezet worden)</t>
  </si>
  <si>
    <t>Chaumes</t>
  </si>
  <si>
    <t>Blauwschimmelkaas (vb Castella)</t>
  </si>
  <si>
    <t>Munster (= pikant)</t>
  </si>
  <si>
    <t>Belegen hoevekaas (vb  Sparkin)</t>
  </si>
  <si>
    <t>Brie</t>
  </si>
  <si>
    <t>Maredsous</t>
  </si>
  <si>
    <t>Stokbrood</t>
  </si>
  <si>
    <t>Boter</t>
  </si>
  <si>
    <t xml:space="preserve">Versierd met druiven </t>
  </si>
  <si>
    <t>Op de tafels:</t>
  </si>
  <si>
    <t>Potjes met pandalusgarnalen en cocktailsaus</t>
  </si>
  <si>
    <t>Er wordt rondgekomen met 5 warme hapjes per persoon</t>
  </si>
  <si>
    <t xml:space="preserve"> </t>
  </si>
  <si>
    <t>gerookte zalm</t>
  </si>
  <si>
    <t>parmaham</t>
  </si>
  <si>
    <t>américain préparé</t>
  </si>
  <si>
    <t>Belegd met:</t>
  </si>
  <si>
    <t>grijze garnalen</t>
  </si>
  <si>
    <t>zalmsalade</t>
  </si>
  <si>
    <t>gerookte ham</t>
  </si>
  <si>
    <t>vissla</t>
  </si>
  <si>
    <t>kaas</t>
  </si>
  <si>
    <t>gekookte ham</t>
  </si>
  <si>
    <t>krabsla</t>
  </si>
  <si>
    <t>kipsla</t>
  </si>
  <si>
    <t>Koffie 3 X bediend</t>
  </si>
  <si>
    <t>Gedetailleerde info</t>
  </si>
  <si>
    <t>Receptie A</t>
  </si>
  <si>
    <t>Receptie E</t>
  </si>
  <si>
    <t xml:space="preserve">Dessertbuffet zonder maaltijd: </t>
  </si>
  <si>
    <t>1 aperitief per persoon, vrije keuze</t>
  </si>
  <si>
    <t>Beknopte info</t>
  </si>
  <si>
    <t>Totaal per volwassene:</t>
  </si>
  <si>
    <t>(klik op de gele balk, vervolgens op het pijltje rechts en scroll ev. naar beneden)</t>
  </si>
  <si>
    <t>Mogelijke supplementen drank</t>
  </si>
  <si>
    <t>prijs pp</t>
  </si>
  <si>
    <t>Cava</t>
  </si>
  <si>
    <t>Champagne</t>
  </si>
  <si>
    <t>Maak in dit vak uw keuze</t>
  </si>
  <si>
    <t xml:space="preserve">koud hapje met krabsla </t>
  </si>
  <si>
    <t xml:space="preserve"> 0 t.e.m. 2 j. 11 maand</t>
  </si>
  <si>
    <t>kinderen</t>
  </si>
  <si>
    <t>3 j. t.e.m. 5 j. 11 maand</t>
  </si>
  <si>
    <t>6 j, t.e.m. 11 jr. 11 maand</t>
  </si>
  <si>
    <t>* eendenmousse met rode bessen en koornbloemblaadjes</t>
  </si>
  <si>
    <t>* luzerne met gerookte zalm, eitjes van vliegende vis in wasabi</t>
  </si>
  <si>
    <t>dranken inbegrepen gedurende 3 uur</t>
  </si>
  <si>
    <t>Buffetje no 3:</t>
  </si>
  <si>
    <t>Buffetje no 2: Kaasbuffetje:</t>
  </si>
  <si>
    <t xml:space="preserve">gerookte zalm </t>
  </si>
  <si>
    <t>krabsalade</t>
  </si>
  <si>
    <t>hapjes en drank gedurende 3 uur.</t>
  </si>
  <si>
    <t>Basis receptie.</t>
  </si>
  <si>
    <t>Goed voor een maaltijd.</t>
  </si>
  <si>
    <t xml:space="preserve">aangevuld worden met </t>
  </si>
  <si>
    <t>Kan voor andere doelen ev.</t>
  </si>
  <si>
    <t>Dranken 2 uur inbegrepen.</t>
  </si>
  <si>
    <t>belegde broodjes.</t>
  </si>
  <si>
    <t xml:space="preserve">van maximaal 3u30 </t>
  </si>
  <si>
    <t xml:space="preserve">All-in maaltijd - receptieformule </t>
  </si>
  <si>
    <t>De gasten hebben volledig</t>
  </si>
  <si>
    <t>De klemtoon ligt op een</t>
  </si>
  <si>
    <t>gegeten na deze formule.</t>
  </si>
  <si>
    <t>Maak hier uw keuze</t>
  </si>
  <si>
    <t>0,00</t>
  </si>
  <si>
    <t>MAAK UW KEUZE in de gele vakken:</t>
  </si>
  <si>
    <t>Deze info is van: Feestzaal Katelijnenhof, Heirweg 172, 8800 Roeselare. Contacteer de zaakvoerder: 0475/618058 - info@katelijnenhof.be - web: www.katelijnenhof.be met foto's en volledige prijslijst.</t>
  </si>
  <si>
    <t>Alles mag op 1 rekening geplaatst worden en wordt betaald door de organisator van het feest.</t>
  </si>
  <si>
    <t>De gasten rekenen zelf de drankjes af die ze bestellen.</t>
  </si>
  <si>
    <t>Om een aanvraag naar ons te versturen stuur een mail naar info@katelijnenhof met in bijlage dit bestand vanaf uw harde schijf.</t>
  </si>
  <si>
    <t>geraamd aantal volwassenen:</t>
  </si>
  <si>
    <t>geraamd aantal kinderen  0 t.e.m. 2 j. 11 maand:</t>
  </si>
  <si>
    <t>geraamd aantal kinderen 3 j. t.e.m. 5 j. 11 maand:</t>
  </si>
  <si>
    <t>geraamd aantal kinderen 6 j, t.e.m. 11 jr. 11 maand:</t>
  </si>
  <si>
    <t>Minimaal verbruik feest</t>
  </si>
  <si>
    <t>Om uw selecties te bewaren, gelieve ze op te slaan op uw harde schijf. (opslaan als)</t>
  </si>
  <si>
    <t>één rekening</t>
  </si>
  <si>
    <t>direct afrekenen</t>
  </si>
  <si>
    <t>alletwee de prijzen nodig!</t>
  </si>
  <si>
    <t xml:space="preserve">Indien  er geen volwaardige maaltijd wordt genomen, dienen er minstens 4 belegde broodjes genomen te worden en verhoogt het drankforfait tot € 28,00 </t>
  </si>
  <si>
    <t>'s middags tot 21 u - 's avonds onbeperkt. Let op! Artikel 8 van de verkoopsvoorwaarden (zie laatste bladzijde) kan hier van toepassing zijn !!!!</t>
  </si>
  <si>
    <t>Verbruik van DJ  ten laste van de klant</t>
  </si>
  <si>
    <t>Voor onze vegetarische klanten:</t>
  </si>
  <si>
    <t xml:space="preserve">- Voor onze vegetarische klanten bereiden wij graag een aparte schotel. </t>
  </si>
  <si>
    <t>Wij vragen wel met aandrang om op voorhand te melden als er vegetariërs zijn.</t>
  </si>
  <si>
    <t>Zij eten mee aan de prijs van de rest van de groep.</t>
  </si>
  <si>
    <t>Mensen met een speciaal dieet:</t>
  </si>
  <si>
    <t xml:space="preserve">Wij houden rekening met speciale wensen van mensen die een dieet volgen, </t>
  </si>
  <si>
    <t xml:space="preserve">maar alleen indien op voorhand gemeld. </t>
  </si>
  <si>
    <t>Halal kan ook, onder toezicht van een moslim bereid.</t>
  </si>
  <si>
    <t>ja</t>
  </si>
  <si>
    <t>nee</t>
  </si>
  <si>
    <t>Alle drank na de receptie komt op één rekening en wordt door de organisator van het feest betaald</t>
  </si>
  <si>
    <t>Elke gast die na de receptie een drankje bestelt rekent direct af aan de bar</t>
  </si>
  <si>
    <t xml:space="preserve">Forfait voor drank naar believen (alle bieren en frisdranken van de drankkaart in de zaal) na een receptie pp: </t>
  </si>
  <si>
    <r>
      <t xml:space="preserve">Het exacte aantal personen </t>
    </r>
    <r>
      <rPr>
        <b/>
        <u/>
        <sz val="11"/>
        <color indexed="8"/>
        <rFont val="Calibri"/>
        <family val="2"/>
      </rPr>
      <t>en</t>
    </r>
    <r>
      <rPr>
        <sz val="11"/>
        <color theme="1"/>
        <rFont val="Calibri"/>
        <family val="2"/>
        <scheme val="minor"/>
      </rPr>
      <t xml:space="preserve"> de tafelschikking dient ons meegedeeld te worden de vrijdag van het weekend voordien.</t>
    </r>
  </si>
  <si>
    <t>Overzicht van uw selectie:</t>
  </si>
  <si>
    <t>Keuze drank na de receptie:</t>
  </si>
  <si>
    <t xml:space="preserve">Vegetariërs: </t>
  </si>
  <si>
    <t xml:space="preserve">Speciale dieten: </t>
  </si>
  <si>
    <t xml:space="preserve">Halal bereidingen: </t>
  </si>
  <si>
    <t xml:space="preserve">Feest met discobar: </t>
  </si>
  <si>
    <t>Gaat u akkoord met de algemene verkoopsvoorwaarden?</t>
  </si>
  <si>
    <t>uur van aankomst:</t>
  </si>
  <si>
    <t>aan tafel om:</t>
  </si>
  <si>
    <t>Uw naam:</t>
  </si>
  <si>
    <t>Adres:</t>
  </si>
  <si>
    <t>Stad:</t>
  </si>
  <si>
    <t>Tel nr:</t>
  </si>
  <si>
    <t>Naam Klant:</t>
  </si>
  <si>
    <t>Katelijnenhof</t>
  </si>
  <si>
    <t>Heirweg 172</t>
  </si>
  <si>
    <t>8800 Roeselare</t>
  </si>
  <si>
    <t>Gsm 0475/618058</t>
  </si>
  <si>
    <t>Datum activiteit:</t>
  </si>
  <si>
    <t>Totaal aantal personen:</t>
  </si>
  <si>
    <t>prijs:</t>
  </si>
  <si>
    <t>aankomst om:</t>
  </si>
  <si>
    <t>volwassenen:</t>
  </si>
  <si>
    <t>JR 1/2 (6 t.e.m. 11) :</t>
  </si>
  <si>
    <t>JR 1/3 (3 t.e.m. 5) :</t>
  </si>
  <si>
    <t>JR gratis (0 t.e.m. 2) :</t>
  </si>
  <si>
    <t xml:space="preserve">Het juiste aantal EN de gewenste tafelschikking moet ons meegedeeld worden ten laatste op: </t>
  </si>
  <si>
    <t>Wijzigingen na deze datum van aantal en/of tafelschikking hebben prijsherzieningen tot gevolg!</t>
  </si>
  <si>
    <t xml:space="preserve">Dit aantal geldt als minimum voor facturatie. Verdere verkoopsvoorwaarden op een ander werkblad. </t>
  </si>
  <si>
    <t>Vergeet ze niet te lezen.</t>
  </si>
  <si>
    <t>Handtekening der beide partijen voor akkoord:</t>
  </si>
  <si>
    <t>De klant</t>
  </si>
  <si>
    <t>Het Katelijnenhof</t>
  </si>
  <si>
    <t>Geschat factuurtotaal:</t>
  </si>
  <si>
    <t>(Gebaseerd op de door u ingebrachte gegevens)</t>
  </si>
  <si>
    <t>raming totaal 1:</t>
  </si>
  <si>
    <t>ander rekenblad:</t>
  </si>
  <si>
    <t>huur zaal:</t>
  </si>
  <si>
    <t>raming algemeen totaal:</t>
  </si>
  <si>
    <t>geraamde totalen uit andere rekenbladen:</t>
  </si>
  <si>
    <t>(vb: kindermenus)</t>
  </si>
  <si>
    <t>korting bij contante betaling:</t>
  </si>
  <si>
    <t>saldo:</t>
  </si>
  <si>
    <t>informele opstelling</t>
  </si>
  <si>
    <t>Voorziene tafelschikking:</t>
  </si>
  <si>
    <t>U kunt dit wijzigen, maar neem daarvoor contact met ons op.</t>
  </si>
  <si>
    <t>reden feest:</t>
  </si>
  <si>
    <t>Opmerking:</t>
  </si>
  <si>
    <t>info@katelijnenhof.be</t>
  </si>
  <si>
    <t>Indien een genodigde een extra aperitief bestelt of een aperitief wenst die niet in de prijs begrepen is dan:</t>
  </si>
  <si>
    <t>Alle extra aperitief komt op de algemene rekening.</t>
  </si>
  <si>
    <t>Om uw selecties af te drukken druk pagina 1 van tabblad  "reservatievoorstel" af.</t>
  </si>
  <si>
    <t>raming te betalen indien contante betaling  (max € 3000 cash):</t>
  </si>
  <si>
    <t>* mousse van krab met rode bietscheutjes</t>
  </si>
  <si>
    <t>Wijze van betaling:</t>
  </si>
  <si>
    <t>Uitsplitsing per BTW tarief.</t>
  </si>
  <si>
    <t>Totaalprijs per vol:</t>
  </si>
  <si>
    <t>Totaal aan 21%</t>
  </si>
  <si>
    <t>aantal</t>
  </si>
  <si>
    <t>totaal:</t>
  </si>
  <si>
    <t>deel21%</t>
  </si>
  <si>
    <t>Vol</t>
  </si>
  <si>
    <t>JR 1/2</t>
  </si>
  <si>
    <t>JR 1/3</t>
  </si>
  <si>
    <t>JR gratis</t>
  </si>
  <si>
    <t xml:space="preserve">Wenst u een factuur? </t>
  </si>
  <si>
    <t xml:space="preserve">Factuur: </t>
  </si>
  <si>
    <t>Menu</t>
  </si>
  <si>
    <t>Dep. B</t>
  </si>
  <si>
    <t>Dep. A</t>
  </si>
  <si>
    <t>Voorschot reeds betaald:</t>
  </si>
  <si>
    <t>Gestort / betaald op:</t>
  </si>
  <si>
    <t>Voorschot wordt gesplitst over:</t>
  </si>
  <si>
    <t xml:space="preserve"> volwassenen</t>
  </si>
  <si>
    <t>Input GKS:</t>
  </si>
  <si>
    <t>vol</t>
  </si>
  <si>
    <t>x</t>
  </si>
  <si>
    <t>Verwerking voorschot</t>
  </si>
  <si>
    <t>Totale boekwaarde:</t>
  </si>
  <si>
    <t xml:space="preserve">Onze meest uitgebreide </t>
  </si>
  <si>
    <t>Kleinere receptie</t>
  </si>
  <si>
    <t>receptie met een overvloed aan</t>
  </si>
  <si>
    <t>met een 4 aperitiefglaasjes als</t>
  </si>
  <si>
    <t xml:space="preserve">met schuimwijn van het huis en alle frisdranken en bieren naar believen, </t>
  </si>
  <si>
    <t xml:space="preserve">met Schuimwijn van het huis en alle frisdranken en bieren naar believen, </t>
  </si>
  <si>
    <t>hapje en drank gedurende 2 uur.</t>
  </si>
  <si>
    <t>uitgebreide fomule met hapjes in menuvorm (max 3uur)</t>
  </si>
  <si>
    <t>Kan als babyborrel, indien</t>
  </si>
  <si>
    <t xml:space="preserve">“3 koude voorgerechtjes", u kiest uit: * verse oester </t>
  </si>
  <si>
    <t>aangevuld met andere hapjes</t>
  </si>
  <si>
    <t>* parmaham met meloenbolletjes</t>
  </si>
  <si>
    <t>* parmaham met espuma van mango</t>
  </si>
  <si>
    <t>Schuimwijn van het huis (reeds inbegrepen)</t>
  </si>
  <si>
    <t>* preischeuten met tijgergarnalen en mini tomaat</t>
  </si>
  <si>
    <t xml:space="preserve">* ganache van foie gras met amandelbrood </t>
  </si>
  <si>
    <t>* Preiroomsoep met broccoligarnituur en gebakken spekjes* Aspergeroomsoep met koornbloemblaadjes</t>
  </si>
  <si>
    <t>* Kervelroomsoep met gerookte eend* Soepje van boschampignons met gerookte paling</t>
  </si>
  <si>
    <t>“3 warme voorgerechtjes”, u kiest uit: * oester met champagnesaus</t>
  </si>
  <si>
    <t xml:space="preserve">* Breydelspek met mosterdroomsaus * een gevuld toastcupje </t>
  </si>
  <si>
    <t xml:space="preserve">* mini croque * scampi nantua </t>
  </si>
  <si>
    <t xml:space="preserve">* mini loempia * Warme dagvis met curry </t>
  </si>
  <si>
    <t xml:space="preserve">* garnaal in filo * kippenboutje </t>
  </si>
  <si>
    <t xml:space="preserve"> “2 dessertjes”, u kiest uit:</t>
  </si>
  <si>
    <t>* Bruine chocolademousse</t>
  </si>
  <si>
    <t>* Pasteis de nata</t>
  </si>
  <si>
    <t>* Miserable    * mini fruittaartje</t>
  </si>
  <si>
    <t>* glaasje fruitsla met perensorbet</t>
  </si>
  <si>
    <t>* Witte chocolademousse</t>
  </si>
  <si>
    <t>* Roomsoes met warme chocoladesaus</t>
  </si>
  <si>
    <t>* Tiramisu * javanais</t>
  </si>
  <si>
    <t>* Gebak peer-caramel</t>
  </si>
  <si>
    <t>De 2 desserthapjes mogen ook vervangen worden door een zakje friet.</t>
  </si>
  <si>
    <t xml:space="preserve">Allergenen: </t>
  </si>
  <si>
    <t>Belegen hoevekaas (vb  Oud Brugge)</t>
  </si>
  <si>
    <t>Free-flow 1 maaltijd-receptieformule met buffetjes en warme hapjes</t>
  </si>
  <si>
    <t>Free-flow 1 maaltijd-receptieformule met buffetjes en warme hapjes en extra gerookte zalm en krabsalade</t>
  </si>
  <si>
    <t>Free-flow 2 maaltijd-receptieformule met buffetjes en warme hapjes</t>
  </si>
  <si>
    <t>Free-flow 2 maaltijd-receptieformule met buffetjes en warme hapjes en extra gerookte zalm en krabsalade</t>
  </si>
  <si>
    <t>Carré gebraad</t>
  </si>
  <si>
    <t>Hespenworst</t>
  </si>
  <si>
    <t>Americain préparé</t>
  </si>
  <si>
    <t>kaasbuffet aangevuld</t>
  </si>
  <si>
    <t>vleesbuffet aangevuld</t>
  </si>
  <si>
    <t>met vleesbeleg</t>
  </si>
  <si>
    <t>met vleesbeleg, krabsla</t>
  </si>
  <si>
    <t>met 3 soorten kaas</t>
  </si>
  <si>
    <t>met 3 soorten kaas, krabsla</t>
  </si>
  <si>
    <t>en gerookte zalm</t>
  </si>
  <si>
    <t>Betaling op de dag zelf (cash of bancontact), u bekomt 2% korting op het totaal</t>
  </si>
  <si>
    <t>email klant:</t>
  </si>
  <si>
    <t>email:</t>
  </si>
  <si>
    <t>Waarde dessert (hoeveel er afgaat)</t>
  </si>
  <si>
    <t>U kunt hier een extra warm gerecht kiezen.</t>
  </si>
  <si>
    <t>U kunt hier een tweede extra warm gerecht kiezen.</t>
  </si>
  <si>
    <t>U kunt hier een derde extra warm gerecht kiezen.</t>
  </si>
  <si>
    <t>lam, zwanen enz..  . Met foto suppl.</t>
  </si>
  <si>
    <t xml:space="preserve">Foto op de taart: suppl. € </t>
  </si>
  <si>
    <t xml:space="preserve">per stuk taart en € </t>
  </si>
  <si>
    <t xml:space="preserve"> per foto</t>
  </si>
  <si>
    <t>U kiest één soepje uit: * Kreeftensoep* Pompoensoep (sept. okt. nov.)</t>
  </si>
  <si>
    <t>per uur extra drank, prijs per persoon:</t>
  </si>
  <si>
    <t>uitgebreide fomule met toostjes in menuvorm (max 3uur)</t>
  </si>
  <si>
    <t>Een frikandel</t>
  </si>
  <si>
    <t>Een zakje friet</t>
  </si>
  <si>
    <t>Een BBQ worst</t>
  </si>
  <si>
    <t>Een ovenkoek met reuze Angus burger</t>
  </si>
  <si>
    <t>Duo van Groenlandse heilbot en scampi's met een snuifje saffraan</t>
  </si>
  <si>
    <t>Bladerdeeggebakje gevuld met kip</t>
  </si>
  <si>
    <t>Victoriabaarsfilet in preiroomsaus</t>
  </si>
  <si>
    <t>Witte zalmfilet in gekruide roomsaus of in kreeftenroomsaus</t>
  </si>
  <si>
    <t>Gepocheerde verse roze zalm met bieslooksaus</t>
  </si>
  <si>
    <t>Neem contact op met de zaakvoerder op tel nr 0475/618058</t>
  </si>
  <si>
    <t>om hier zeker geen misverstanden over te hebben!</t>
  </si>
  <si>
    <t>dranken inbegrepen</t>
  </si>
  <si>
    <t>gedurende 2 uur</t>
  </si>
  <si>
    <t>met huis schuimwijn,</t>
  </si>
  <si>
    <t>frisdranken en</t>
  </si>
  <si>
    <t>bieren naar believen.</t>
  </si>
  <si>
    <t xml:space="preserve">Assortiment van 4  </t>
  </si>
  <si>
    <t>inbegrepen.</t>
  </si>
  <si>
    <t>Maak uw keuze</t>
  </si>
  <si>
    <t>Liever meer dan 4 hapjes? Geen probleem.</t>
  </si>
  <si>
    <t>Het supplement bedraagt € 1,60 per hapje</t>
  </si>
  <si>
    <t>fini</t>
  </si>
  <si>
    <t>Ook inbegrepen:</t>
  </si>
  <si>
    <t>tapenades</t>
  </si>
  <si>
    <t>nootjes en chips</t>
  </si>
  <si>
    <t>aperitiefglaasjes</t>
  </si>
  <si>
    <t>luzerne met gerookte zalm, eitjes van vliegende vis in wasabi</t>
  </si>
  <si>
    <t>preischeuten met tijgergarnalen en mini tomaat</t>
  </si>
  <si>
    <t>aperoglaasje parmaham met meloenbolletjes</t>
  </si>
  <si>
    <t>aperoglaasje parmaham met espuma van mango</t>
  </si>
  <si>
    <t>verse oester</t>
  </si>
  <si>
    <t>Taboulé met gerookte forel</t>
  </si>
  <si>
    <t>Haringhapje met curry</t>
  </si>
  <si>
    <t>Bord met olijven, kaasjes en salamietjes</t>
  </si>
  <si>
    <t>Bord met 3 tapenades (tonijn / pesto spread rosso /zoete peper roomkaas)</t>
  </si>
  <si>
    <t>Breydelspek met mosterdroomsaus</t>
  </si>
  <si>
    <t>aperoglaasje scampi</t>
  </si>
  <si>
    <t>Warme dagvis met curry</t>
  </si>
  <si>
    <t>een gevuld toastcupje</t>
  </si>
  <si>
    <t xml:space="preserve">oester met champagnesaus </t>
  </si>
  <si>
    <t>garnaal in filo</t>
  </si>
  <si>
    <t>mini croque</t>
  </si>
  <si>
    <t>Aspergeroomsoep met koornbloemblaadjes</t>
  </si>
  <si>
    <t>Pompoensoep (sept. okt. nov.)</t>
  </si>
  <si>
    <t>Kervelroomsoep met gerookte eend</t>
  </si>
  <si>
    <t>Preiroomsoep met broccoligarnituur en gebakken spekjes</t>
  </si>
  <si>
    <t>Soepje van boschampignons met gerookte paling</t>
  </si>
  <si>
    <t>Betaling na het feest. Gelieve 40 % voorschot te storten op BE48 4631 1391 2127. Geen korting.</t>
  </si>
  <si>
    <t>Storting op BE 48 4631 1391 2127 min. 7 dagen voor het feest, 2% korting</t>
  </si>
  <si>
    <t xml:space="preserve">Kies hier eerst uw soort receptie. </t>
  </si>
  <si>
    <t>(In totaal minstens 7 hapjes!)</t>
  </si>
  <si>
    <t>Of voor een maaltijd.</t>
  </si>
  <si>
    <t>Betaling drank na de eerste receptie:</t>
  </si>
  <si>
    <t>Babyborrel</t>
  </si>
  <si>
    <t>Partyformule</t>
  </si>
  <si>
    <t xml:space="preserve">Uitgebreide receptie </t>
  </si>
  <si>
    <t>met 9 hapjes</t>
  </si>
  <si>
    <t>Kies ook 1 warm gerecht,</t>
  </si>
  <si>
    <t>al dan niet met friet</t>
  </si>
  <si>
    <t>En selecteer forfait drank!</t>
  </si>
  <si>
    <t>mini kippenboutje</t>
  </si>
  <si>
    <t>en doorlopend drank.</t>
  </si>
  <si>
    <t>ganache van foie gras met frambozenconfituur en amandelbrood</t>
  </si>
  <si>
    <t>Uitgebreide receptie, alle doelen</t>
  </si>
  <si>
    <t>Kan op veel manieren</t>
  </si>
  <si>
    <t>uitgebreid worden.</t>
  </si>
  <si>
    <t>Mini bagel met zalm en kruidenkaas</t>
  </si>
  <si>
    <t>Gepaneerde garnalen butterfly</t>
  </si>
  <si>
    <t>Exclusiviteit voor beide zalen:</t>
  </si>
  <si>
    <t>U kunt ook de receptie wat langer laten duren. Dan serveren wij verder drank. Aantal uren extra:</t>
  </si>
  <si>
    <t>7 voorgerechten partyformule</t>
  </si>
  <si>
    <t>Gek slaatje van de chef met grijze garnalen, gerookte zalm en foie gras</t>
  </si>
  <si>
    <t>Lauw slaatje met scampi's, kwartelei en gerookte zalm</t>
  </si>
  <si>
    <t>Zomers slaatje met gebakken kippereepjes + kalfszwezeriken</t>
  </si>
  <si>
    <t xml:space="preserve">Frivool slaatje van gerookte zalm, St Jacobsvruchten en gepocheerde zalm </t>
  </si>
  <si>
    <t>Zomers slaatje met gebakken kippereepjes</t>
  </si>
  <si>
    <t>Gepocheerde zalm op frivool slaatje met cocktailsaus</t>
  </si>
  <si>
    <t>Duo van gerookte zalm en gepocheerde zalm</t>
  </si>
  <si>
    <t>Hoofdgerechten</t>
  </si>
  <si>
    <t>Voorgerechten</t>
  </si>
  <si>
    <t>Groenlandse heilbotfilet in kreeftenroomsaus en een rivierkreeftje</t>
  </si>
  <si>
    <t>Met zalm gevulde tongfilets in gekruide roomsaus</t>
  </si>
  <si>
    <t>Duo van Groenlandse heilbot en St. Jacobsvruchten</t>
  </si>
  <si>
    <t>Bladerdeeggebakje gevuld met kip en kalfszwezeriken</t>
  </si>
  <si>
    <t>Rolletje van zalm en tong, noordzeegarnalen en een langoustine</t>
  </si>
  <si>
    <t>De gast die niet inbegrepen aperitief bestelt betaalt deze zelf (vb: sterke drank)</t>
  </si>
  <si>
    <t>* Chocoladebavarois * frambozenbavarois</t>
  </si>
  <si>
    <t>Keuze aperitiefhapjes:</t>
  </si>
  <si>
    <t>KOUD</t>
  </si>
  <si>
    <t>crunchy sushi</t>
  </si>
  <si>
    <t>BORD</t>
  </si>
  <si>
    <t>Bord met rauwe groenten en cocktailsaus (wortel, bloemkool, radijs)</t>
  </si>
  <si>
    <t>WARM</t>
  </si>
  <si>
    <t>mini hot-dog</t>
  </si>
  <si>
    <t>SOEP</t>
  </si>
  <si>
    <t>Kreeftensoep</t>
  </si>
  <si>
    <t>DESSERT</t>
  </si>
  <si>
    <t>Bruine chocolademousse</t>
  </si>
  <si>
    <t>Pasteis de nata</t>
  </si>
  <si>
    <t>Chocoladebavarois</t>
  </si>
  <si>
    <t>Miserable</t>
  </si>
  <si>
    <t>mini fruittaartje</t>
  </si>
  <si>
    <t>glaasje fruitsla met perensorbet</t>
  </si>
  <si>
    <t>Witte chocolademousse</t>
  </si>
  <si>
    <t>Roomsoes met warme chocoladesaus</t>
  </si>
  <si>
    <t>Tiramisu</t>
  </si>
  <si>
    <t>Gebak peer-caramel</t>
  </si>
  <si>
    <t>javanais</t>
  </si>
  <si>
    <t>frambozenbavarois</t>
  </si>
  <si>
    <t>Nog geen dessert geselecteerd</t>
  </si>
  <si>
    <t>IJstaart ambachtelijk, speciale vorm, smaak naar keuze</t>
  </si>
  <si>
    <t>Stel hieronder uw mini dessertbordje samen met minstens 4 dessertjes</t>
  </si>
  <si>
    <t>Coupe met vers fruit en verse slagroom.</t>
  </si>
  <si>
    <t>Aardbeiensoepje met sinaasappel in seizoen</t>
  </si>
  <si>
    <t>Coupe met aardbeien en verse slagroom.</t>
  </si>
  <si>
    <t>Dame blanche</t>
  </si>
  <si>
    <t>- frambozentaart</t>
  </si>
  <si>
    <t>- progres</t>
  </si>
  <si>
    <t>- fruitgebakje</t>
  </si>
  <si>
    <t>- biscuit crème fraiche met coulis</t>
  </si>
  <si>
    <t>- warme appeltaart met een bolletje ijs</t>
  </si>
  <si>
    <t>- zwarte woudtaart</t>
  </si>
  <si>
    <t>Sabayon met rood fruit</t>
  </si>
  <si>
    <t>Basis dessertbuffet met:</t>
  </si>
  <si>
    <t>Uitgebreid dessertbuffet met:</t>
  </si>
  <si>
    <t>Uitgebreid en luxueus dessertbuffet met:</t>
  </si>
  <si>
    <t>Ander dessert</t>
  </si>
  <si>
    <t>deel 12 %</t>
  </si>
  <si>
    <t>Late night snacks</t>
  </si>
  <si>
    <t>overal op regel 300</t>
  </si>
  <si>
    <t>Croque uit het vuistje</t>
  </si>
  <si>
    <t>Pizza Margherita</t>
  </si>
  <si>
    <t>Belegde broodjes (2 pp)</t>
  </si>
  <si>
    <t>Braadworst</t>
  </si>
  <si>
    <t>U kunt hier een of meerdere late night snacks kiezen.</t>
  </si>
  <si>
    <t>Kies uit:</t>
  </si>
  <si>
    <t>Scampi (3pp) Nantua met farfale en broccoli</t>
  </si>
  <si>
    <t>Prijzen geldig tot 31/03/2023</t>
  </si>
  <si>
    <t>+ € 3,00</t>
  </si>
  <si>
    <t>+ € 6,00</t>
  </si>
  <si>
    <t>Meerkost andere hoofdschotels</t>
  </si>
  <si>
    <t>Meerkost sjieke hoofdschotels</t>
  </si>
  <si>
    <t>En de hele sjieke</t>
  </si>
  <si>
    <t>+ € 9,00</t>
  </si>
  <si>
    <r>
      <t xml:space="preserve">Algemene verkoopsvoorwaarden </t>
    </r>
    <r>
      <rPr>
        <b/>
        <sz val="10"/>
        <color theme="1"/>
        <rFont val="Times New Roman"/>
        <family val="1"/>
      </rPr>
      <t>vanaf 01/11/2022</t>
    </r>
    <r>
      <rPr>
        <sz val="10"/>
        <color theme="1"/>
        <rFont val="Times New Roman"/>
        <family val="1"/>
      </rPr>
      <t>:</t>
    </r>
  </si>
  <si>
    <r>
      <t xml:space="preserve">2) </t>
    </r>
    <r>
      <rPr>
        <b/>
        <sz val="10"/>
        <color theme="1"/>
        <rFont val="Times New Roman"/>
        <family val="1"/>
      </rPr>
      <t>Annulatie</t>
    </r>
    <r>
      <rPr>
        <sz val="10"/>
        <color theme="1"/>
        <rFont val="Times New Roman"/>
        <family val="1"/>
      </rPr>
      <t xml:space="preserve"> dient schriftelijk en gedateerd te geschieden. </t>
    </r>
  </si>
  <si>
    <r>
      <t>In geval van annulatie minder dan 60 dagen voor de activiteit blijft het voorschot eigendom van het Katelijnenhof. Voor annulatie minder dan 10 dagen voor de activiteit is de klant in alle gevallen verplicht 35 % van de reservatie waarde van de gehele manifestatie te vergoeden</t>
    </r>
    <r>
      <rPr>
        <b/>
        <sz val="10"/>
        <color theme="1"/>
        <rFont val="Times New Roman"/>
        <family val="1"/>
      </rPr>
      <t xml:space="preserve">. </t>
    </r>
    <r>
      <rPr>
        <sz val="10"/>
        <color theme="1"/>
        <rFont val="Times New Roman"/>
        <family val="1"/>
      </rPr>
      <t>Bij annulatie minder dan 5 dagen voor  de activiteit is de klant in alle gevallen verplicht de reservatie waarde van de gehele manifestatie te vergoeden.</t>
    </r>
  </si>
  <si>
    <t>3) Iedere levering van dranken, voedingswaren of diensten in de  zalen is uitsluitend voorbehouden aan het Katelijnenhof, tenzij er een andere schriftelijke overeenkomst is.</t>
  </si>
  <si>
    <r>
      <t>4) De klant is eraan gehouden voor iedere dansavond met groot orkest een aanvraag tot toelating in te dienen bij SABAM, Rijselsestraat 51, 8500 Kortrijk, Tel : 056/210738 en alle kosten voortvloeiend uit deze aanvraag te dragen.  Voor een gewone disc-jockey betalen wij jaarlijks een vaste bijdrage</t>
    </r>
    <r>
      <rPr>
        <b/>
        <sz val="10"/>
        <color theme="1"/>
        <rFont val="Times New Roman"/>
        <family val="1"/>
      </rPr>
      <t>. Het verbruik (drank en voeding) van de DJ is ten laste van de klant. Gelet op de nieuwe geluidsnormen</t>
    </r>
    <r>
      <rPr>
        <sz val="10"/>
        <color theme="1"/>
        <rFont val="Times New Roman"/>
        <family val="1"/>
      </rPr>
      <t xml:space="preserve">, van kracht op 01/01/2013, moet de klant de DJ of elke andere persoon of toestel dat  geluid produceert verplichten zich aan deze normen te houden. De toelating voor onze zaal is – maximaal geluidsniveau &gt; 85 dB(A) LAeq,15min en ≤ 95 dB(A) LAeq,15min. Dit is ruim voldoende. </t>
    </r>
    <r>
      <rPr>
        <b/>
        <sz val="10"/>
        <color theme="1"/>
        <rFont val="Times New Roman"/>
        <family val="1"/>
      </rPr>
      <t>Alle boetes ten gevolge een overschrijding van deze voorwaarde zijn ten laste van de klant.</t>
    </r>
    <r>
      <rPr>
        <sz val="10"/>
        <color theme="1"/>
        <rFont val="Times New Roman"/>
        <family val="1"/>
      </rPr>
      <t xml:space="preserve"> Er wordt een professionele houding van elke DJ of geluidstechnicus verwacht.</t>
    </r>
  </si>
  <si>
    <r>
      <t xml:space="preserve">Het is niet toegestaan om muziek af te spelen via B2C diensten zoals </t>
    </r>
    <r>
      <rPr>
        <b/>
        <sz val="10"/>
        <color theme="1"/>
        <rFont val="Times New Roman"/>
        <family val="1"/>
      </rPr>
      <t>Spotify, Deezer, Youtube</t>
    </r>
    <r>
      <rPr>
        <sz val="10"/>
        <color theme="1"/>
        <rFont val="Times New Roman"/>
        <family val="1"/>
      </rPr>
      <t>… Dit geldt voor elke horecazaak, winkel enz… Doet de klant of zijn DJ dat toch en er volgt een boete, dan is deze ten laste van de klant.</t>
    </r>
  </si>
  <si>
    <r>
      <t xml:space="preserve">5) Alle door de klant meegebrachte materiaal dient door de klant te worden verzekerd en direct na het beëindigen van de manifestatie te worden verwijderd uit de zaal. Het Katelijnenhof behoudt het recht de leverancier te aanvaarden en voorschriften te geven om de lokalen ongeschonden te behouden. </t>
    </r>
    <r>
      <rPr>
        <b/>
        <sz val="10"/>
        <color theme="1"/>
        <rFont val="Times New Roman"/>
        <family val="1"/>
      </rPr>
      <t>Het is strikt verboden om versieringen aan de muren of plafonds te bevestigen met duimspijkers of kleefband !</t>
    </r>
    <r>
      <rPr>
        <sz val="10"/>
        <color theme="1"/>
        <rFont val="Times New Roman"/>
        <family val="1"/>
      </rPr>
      <t xml:space="preserve"> Bij beschadigingen van een deel van de muur wordt het geheel als beschadigd beschouwd.</t>
    </r>
  </si>
  <si>
    <r>
      <t xml:space="preserve">6) </t>
    </r>
    <r>
      <rPr>
        <b/>
        <sz val="10"/>
        <color theme="1"/>
        <rFont val="Times New Roman"/>
        <family val="1"/>
      </rPr>
      <t>Het gebruik van de zaal</t>
    </r>
    <r>
      <rPr>
        <sz val="10"/>
        <color theme="1"/>
        <rFont val="Times New Roman"/>
        <family val="1"/>
      </rPr>
      <t xml:space="preserve"> is strikt beperkt tot de in deze overeenkomst vastgestelde functie. Iedere wijziging in de voorheen verklaarde bestemming brengt automatisch het recht tot prijsherziening met zich mee.</t>
    </r>
  </si>
  <si>
    <r>
      <t>7) Het gebruik van de zaal is gratis van zodra het verbruik hoger ligt dan € 1250. Indien het verbruik lager ligt</t>
    </r>
    <r>
      <rPr>
        <sz val="10"/>
        <color rgb="FFFF0000"/>
        <rFont val="Times New Roman"/>
        <family val="1"/>
      </rPr>
      <t>,</t>
    </r>
    <r>
      <rPr>
        <sz val="10"/>
        <color theme="1"/>
        <rFont val="Times New Roman"/>
        <family val="1"/>
      </rPr>
      <t xml:space="preserve"> wordt het factuurbedrag opgetrokken tot € 1250. Indien uw feest cash (max € 3000) of met bancontact betaald wordt op de dag zelf krijgt u een korting van 2 % op de gehele factuur. Voor traiteurdienst gelden andere kortingsregels.</t>
    </r>
  </si>
  <si>
    <r>
      <t xml:space="preserve">8) </t>
    </r>
    <r>
      <rPr>
        <b/>
        <sz val="10"/>
        <color theme="1"/>
        <rFont val="Times New Roman"/>
        <family val="1"/>
      </rPr>
      <t>Sluitingsuren zaal:</t>
    </r>
  </si>
  <si>
    <r>
      <t xml:space="preserve">In geval van een event dat start ’s </t>
    </r>
    <r>
      <rPr>
        <b/>
        <u/>
        <sz val="10"/>
        <color theme="1"/>
        <rFont val="Times New Roman"/>
        <family val="1"/>
      </rPr>
      <t>morgens</t>
    </r>
    <r>
      <rPr>
        <b/>
        <sz val="10"/>
        <color theme="1"/>
        <rFont val="Times New Roman"/>
        <family val="1"/>
      </rPr>
      <t xml:space="preserve"> start tussen 7u en 10u59 (vb. ontbijt)</t>
    </r>
  </si>
  <si>
    <t>Event kan maximaal 6 uur duren.</t>
  </si>
  <si>
    <r>
      <t xml:space="preserve">In geval van een event dat start op de </t>
    </r>
    <r>
      <rPr>
        <b/>
        <u/>
        <sz val="10"/>
        <color theme="1"/>
        <rFont val="Times New Roman"/>
        <family val="1"/>
      </rPr>
      <t>middag</t>
    </r>
    <r>
      <rPr>
        <b/>
        <sz val="10"/>
        <color theme="1"/>
        <rFont val="Times New Roman"/>
        <family val="1"/>
      </rPr>
      <t xml:space="preserve"> start tussen 11u en 13u59</t>
    </r>
  </si>
  <si>
    <t>De bar sluit om 18u00, de zaal sluit om 18u30.</t>
  </si>
  <si>
    <r>
      <t xml:space="preserve">In geval van een event dat start in de </t>
    </r>
    <r>
      <rPr>
        <b/>
        <u/>
        <sz val="10"/>
        <color theme="1"/>
        <rFont val="Times New Roman"/>
        <family val="1"/>
      </rPr>
      <t>namiddag</t>
    </r>
    <r>
      <rPr>
        <b/>
        <sz val="10"/>
        <color theme="1"/>
        <rFont val="Times New Roman"/>
        <family val="1"/>
      </rPr>
      <t xml:space="preserve"> start tussen 14u en 17u59 (vb. babyborrel)</t>
    </r>
  </si>
  <si>
    <r>
      <t xml:space="preserve">In geval van een event dat start ’s </t>
    </r>
    <r>
      <rPr>
        <b/>
        <u/>
        <sz val="10"/>
        <color theme="1"/>
        <rFont val="Times New Roman"/>
        <family val="1"/>
      </rPr>
      <t>avonds</t>
    </r>
    <r>
      <rPr>
        <b/>
        <sz val="10"/>
        <color theme="1"/>
        <rFont val="Times New Roman"/>
        <family val="1"/>
      </rPr>
      <t xml:space="preserve"> start vanaf 18u</t>
    </r>
  </si>
  <si>
    <t>De bar sluit om 2u30, de zaal sluit om 3u.</t>
  </si>
  <si>
    <t>Indien het event toch langer uitloopt dan het sluitingsuur wordt per begonnen uur een toeslag van € 125,00 (btw incl.) aangerekend. Geen enkel drankenforfait geldt dan nog.</t>
  </si>
  <si>
    <r>
      <t xml:space="preserve">9) </t>
    </r>
    <r>
      <rPr>
        <b/>
        <sz val="10"/>
        <color theme="1"/>
        <rFont val="Times New Roman"/>
        <family val="1"/>
      </rPr>
      <t>De klant is verantwoordelijk voor de goede orde in en rond de feestzaal.</t>
    </r>
    <r>
      <rPr>
        <sz val="10"/>
        <color theme="1"/>
        <rFont val="Times New Roman"/>
        <family val="1"/>
      </rPr>
      <t xml:space="preserve"> Schade veroorzaakt door een der aanwezigen kan verhaald worden op deze persoon maar als deze om gelijk welke reden de schade niet kan vergoeden (vb: te weinig financiële middelen of de veroorzaker is onbekend) kan deze schade eveneens ondeelbaar worden verhaald op de klant , zijnde de persoon die het feest heeft besteld. </t>
    </r>
  </si>
  <si>
    <r>
      <t xml:space="preserve">10) </t>
    </r>
    <r>
      <rPr>
        <b/>
        <sz val="10"/>
        <color theme="1"/>
        <rFont val="Times New Roman"/>
        <family val="1"/>
      </rPr>
      <t>Energietoeslag.</t>
    </r>
    <r>
      <rPr>
        <sz val="10"/>
        <color theme="1"/>
        <rFont val="Times New Roman"/>
        <family val="1"/>
      </rPr>
      <t xml:space="preserve"> De energieprijzen zijn momenteel op hol geslagen. Het kan zijn dat wij genoodzaakt zijn een energietoeslag voor het gebruik van de zaal aan te rekenen. U wordt in voorkomend geval op voorhand verwittigd en mag uw feest kosteloos annuleren indien u deze niet wenst te betalen.</t>
    </r>
  </si>
  <si>
    <t>Datum van het feest:</t>
  </si>
  <si>
    <r>
      <t xml:space="preserve">1) Onze facturen zijn </t>
    </r>
    <r>
      <rPr>
        <b/>
        <sz val="10"/>
        <color theme="1"/>
        <rFont val="Times New Roman"/>
        <family val="1"/>
      </rPr>
      <t>contant te betalen</t>
    </r>
    <r>
      <rPr>
        <sz val="10"/>
        <color theme="1"/>
        <rFont val="Times New Roman"/>
        <family val="1"/>
      </rPr>
      <t xml:space="preserve"> bij levering van de goederen, dit is de dag van het event. Bijgevolg zal in geval van laattijdige betaling van rechtswege en zonder voorafgaande ingebrekestelling een intrest aangerekend worden van 12% per jaar op de bedragen, verschuldigd acht dagen na de vervaldag van de facturen. Tevens zal bij gebrek aan betaling na aanmaning bij gewone brief, het verschuldigde bedrag van rechtswege verhoogd worden met een forfaitaire vergoeding van 12 % met een minimum van € 50  voor bijkomende administratieve kosten, debiteurenbewaking en commerciële stoornissen. Wij behouden ons het recht voor op elk moment de leveringen te staken. Elke klacht over de kwaliteit van de geleverde goederen moet uiterlijk 24 uur na de levering worden overgemaakt. </t>
    </r>
  </si>
  <si>
    <t>Klachten in verband met facturatie kunnen slechts in aanmerking worden genomen zo zij binnen de acht dagen na ontvangst van de goederen bij aangetekende brief worden meegedeeld. In geval van betwisting zijn uitsluitend de rechtbanken van Kortrijk bevoegd. De leveringen  geschieden op risico van de bestemmeling. Er wordt uitdrukkelijk overeengekomen dat de klant door het plaatsen van een bestelling onze algemene verkoopsvoorwaarden erkent. Elke wijziging hieraan moet voorafgaandelijk in een schriftelijk akkoord worden vastgelegd.</t>
  </si>
  <si>
    <t>* mini dame blanche (1 bol in wijnglas)</t>
  </si>
  <si>
    <t>mini dame blanche (1 bol in wijnglas)</t>
  </si>
  <si>
    <t>Geen voorkeur</t>
  </si>
  <si>
    <t>Cd’s van het Katelijnenhof</t>
  </si>
  <si>
    <t>Eigen Cd's</t>
  </si>
  <si>
    <t>Joe 60&amp;70</t>
  </si>
  <si>
    <t>Joe 80&amp;90</t>
  </si>
  <si>
    <t>Joe easy</t>
  </si>
  <si>
    <t>Joe lage landen</t>
  </si>
  <si>
    <t>MNM</t>
  </si>
  <si>
    <t>MNM hits</t>
  </si>
  <si>
    <t>Nostalgie</t>
  </si>
  <si>
    <t>Q-foute radio</t>
  </si>
  <si>
    <t>Q-Max hits</t>
  </si>
  <si>
    <t>Q Music</t>
  </si>
  <si>
    <t>Radio 2 Bene Bene</t>
  </si>
  <si>
    <t>Radio 2 West-Vlaanderen</t>
  </si>
  <si>
    <t>Radio 1</t>
  </si>
  <si>
    <t>Studio Brussel</t>
  </si>
  <si>
    <t>Studio Brussel de tijdloze</t>
  </si>
  <si>
    <t>Top Radio</t>
  </si>
  <si>
    <t>Top Versuz Radio</t>
  </si>
  <si>
    <t>NRJ</t>
  </si>
  <si>
    <t>Klara</t>
  </si>
  <si>
    <t>Radio Bingo</t>
  </si>
  <si>
    <t>Joe</t>
  </si>
  <si>
    <t>Voorkeur Achtergrondmuziek: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</si>
</sst>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quot;€&quot;\ #,##0.00"/>
    <numFmt numFmtId="165" formatCode="d/mm/yyyy;@"/>
  </numFmts>
  <fonts count="27" x14ac:knownFonts="1">
    <font>
      <sz val="11"/>
      <color theme="1"/>
      <name val="Calibri"/>
      <family val="2"/>
      <scheme val="minor"/>
    </font>
    <font>
      <b/>
      <u/>
      <sz val="11"/>
      <color indexed="8"/>
      <name val="Calibri"/>
      <family val="2"/>
    </font>
    <font>
      <sz val="11"/>
      <color theme="0"/>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
      <sz val="10"/>
      <color theme="1"/>
      <name val="Calibri"/>
      <family val="2"/>
      <scheme val="minor"/>
    </font>
    <font>
      <sz val="20"/>
      <color theme="1"/>
      <name val="Calibri"/>
      <family val="2"/>
      <scheme val="minor"/>
    </font>
    <font>
      <sz val="11"/>
      <name val="Calibri"/>
      <family val="2"/>
      <scheme val="minor"/>
    </font>
    <font>
      <sz val="8"/>
      <color theme="1"/>
      <name val="Calibri"/>
      <family val="2"/>
      <scheme val="minor"/>
    </font>
    <font>
      <b/>
      <u/>
      <sz val="11"/>
      <color theme="1"/>
      <name val="Calibri"/>
      <family val="2"/>
      <scheme val="minor"/>
    </font>
    <font>
      <b/>
      <sz val="10"/>
      <color theme="1"/>
      <name val="Calibri"/>
      <family val="2"/>
      <scheme val="minor"/>
    </font>
    <font>
      <i/>
      <sz val="8"/>
      <color theme="1"/>
      <name val="Calibri"/>
      <family val="2"/>
      <scheme val="minor"/>
    </font>
    <font>
      <sz val="9"/>
      <color theme="1"/>
      <name val="Calibri"/>
      <family val="2"/>
      <scheme val="minor"/>
    </font>
    <font>
      <sz val="11"/>
      <color theme="1"/>
      <name val="Arial"/>
      <family val="2"/>
    </font>
    <font>
      <sz val="11"/>
      <color rgb="FF000000"/>
      <name val="Calibri"/>
      <family val="2"/>
    </font>
    <font>
      <b/>
      <sz val="11"/>
      <color theme="0"/>
      <name val="Calibri"/>
      <family val="2"/>
      <scheme val="minor"/>
    </font>
    <font>
      <sz val="12"/>
      <color theme="0"/>
      <name val="Arial"/>
      <family val="2"/>
    </font>
    <font>
      <b/>
      <i/>
      <sz val="12"/>
      <color theme="0"/>
      <name val="Arial"/>
      <family val="2"/>
    </font>
    <font>
      <b/>
      <sz val="10"/>
      <color theme="0"/>
      <name val="Calibri"/>
      <family val="2"/>
      <scheme val="minor"/>
    </font>
    <font>
      <sz val="11"/>
      <color theme="1"/>
      <name val="Calibri"/>
      <family val="2"/>
      <scheme val="minor"/>
    </font>
    <font>
      <sz val="10"/>
      <color theme="1"/>
      <name val="Times New Roman"/>
      <family val="1"/>
    </font>
    <font>
      <b/>
      <sz val="10"/>
      <color theme="1"/>
      <name val="Times New Roman"/>
      <family val="1"/>
    </font>
    <font>
      <sz val="10"/>
      <color rgb="FFFF0000"/>
      <name val="Times New Roman"/>
      <family val="1"/>
    </font>
    <font>
      <b/>
      <u/>
      <sz val="10"/>
      <color theme="1"/>
      <name val="Times New Roman"/>
      <family val="1"/>
    </font>
  </fonts>
  <fills count="11">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00B0F0"/>
        <bgColor indexed="64"/>
      </patternFill>
    </fill>
    <fill>
      <patternFill patternType="solid">
        <fgColor theme="9" tint="0.59999389629810485"/>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indexed="64"/>
      </bottom>
      <diagonal/>
    </border>
  </borders>
  <cellStyleXfs count="2">
    <xf numFmtId="0" fontId="0" fillId="0" borderId="0"/>
    <xf numFmtId="44" fontId="22" fillId="0" borderId="0" applyFont="0" applyFill="0" applyBorder="0" applyAlignment="0" applyProtection="0"/>
  </cellStyleXfs>
  <cellXfs count="171">
    <xf numFmtId="0" fontId="0" fillId="0" borderId="0" xfId="0"/>
    <xf numFmtId="0" fontId="3" fillId="0" borderId="0" xfId="0" applyFont="1"/>
    <xf numFmtId="0" fontId="0" fillId="0" borderId="0" xfId="0" applyAlignment="1">
      <alignment horizontal="right"/>
    </xf>
    <xf numFmtId="2" fontId="0" fillId="0" borderId="0" xfId="0" applyNumberFormat="1"/>
    <xf numFmtId="0" fontId="4" fillId="0" borderId="0" xfId="0" applyFont="1" applyAlignment="1">
      <alignment horizontal="left"/>
    </xf>
    <xf numFmtId="0" fontId="5" fillId="0" borderId="0" xfId="0" applyFont="1" applyAlignment="1">
      <alignment horizontal="right"/>
    </xf>
    <xf numFmtId="0" fontId="6" fillId="0" borderId="0" xfId="0" applyFont="1"/>
    <xf numFmtId="2" fontId="5" fillId="2" borderId="1" xfId="0" applyNumberFormat="1" applyFont="1" applyFill="1" applyBorder="1" applyAlignment="1">
      <alignment horizontal="right"/>
    </xf>
    <xf numFmtId="2" fontId="0" fillId="0" borderId="0" xfId="0" applyNumberFormat="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2" fontId="0" fillId="0" borderId="4" xfId="0" quotePrefix="1" applyNumberFormat="1" applyBorder="1" applyAlignment="1">
      <alignment horizontal="center"/>
    </xf>
    <xf numFmtId="2" fontId="0" fillId="0" borderId="4" xfId="0" applyNumberFormat="1" applyBorder="1" applyAlignment="1">
      <alignment horizontal="center"/>
    </xf>
    <xf numFmtId="0" fontId="0" fillId="3" borderId="0" xfId="0" applyFill="1"/>
    <xf numFmtId="0" fontId="0" fillId="3" borderId="0" xfId="0" applyFill="1" applyAlignment="1">
      <alignment horizontal="right"/>
    </xf>
    <xf numFmtId="0" fontId="7" fillId="0" borderId="0" xfId="0" applyFont="1"/>
    <xf numFmtId="0" fontId="0" fillId="4" borderId="0" xfId="0" applyFill="1" applyProtection="1">
      <protection locked="0" hidden="1"/>
    </xf>
    <xf numFmtId="0" fontId="0" fillId="0" borderId="0" xfId="0" applyBorder="1" applyAlignment="1">
      <alignment horizontal="right"/>
    </xf>
    <xf numFmtId="14" fontId="0" fillId="4" borderId="0" xfId="0" applyNumberFormat="1" applyFill="1" applyProtection="1">
      <protection locked="0" hidden="1"/>
    </xf>
    <xf numFmtId="0" fontId="2" fillId="0" borderId="0" xfId="0" applyFont="1" applyAlignment="1">
      <alignment horizontal="right"/>
    </xf>
    <xf numFmtId="0" fontId="8" fillId="0" borderId="0" xfId="0" applyFont="1" applyAlignment="1">
      <alignment horizontal="left"/>
    </xf>
    <xf numFmtId="0" fontId="9" fillId="5" borderId="5" xfId="0" applyFont="1" applyFill="1" applyBorder="1"/>
    <xf numFmtId="0" fontId="0" fillId="5" borderId="6" xfId="0" applyFill="1" applyBorder="1"/>
    <xf numFmtId="0" fontId="0" fillId="5" borderId="8" xfId="0" applyFont="1" applyFill="1" applyBorder="1"/>
    <xf numFmtId="0" fontId="0" fillId="5" borderId="0" xfId="0" applyFill="1" applyBorder="1"/>
    <xf numFmtId="2" fontId="0" fillId="5" borderId="9" xfId="0" applyNumberFormat="1" applyFill="1" applyBorder="1"/>
    <xf numFmtId="2" fontId="0" fillId="5" borderId="9" xfId="0" applyNumberFormat="1" applyFill="1" applyBorder="1" applyAlignment="1">
      <alignment horizontal="right"/>
    </xf>
    <xf numFmtId="0" fontId="0" fillId="5" borderId="10" xfId="0" applyFont="1" applyFill="1" applyBorder="1"/>
    <xf numFmtId="0" fontId="0" fillId="5" borderId="11" xfId="0" applyFill="1" applyBorder="1"/>
    <xf numFmtId="2" fontId="0" fillId="5" borderId="12" xfId="0" applyNumberFormat="1" applyFill="1" applyBorder="1"/>
    <xf numFmtId="0" fontId="0" fillId="5" borderId="13" xfId="0" applyFill="1" applyBorder="1"/>
    <xf numFmtId="0" fontId="0" fillId="5" borderId="14" xfId="0" applyFill="1" applyBorder="1"/>
    <xf numFmtId="2" fontId="0" fillId="5" borderId="15" xfId="0" applyNumberFormat="1" applyFill="1" applyBorder="1" applyAlignment="1">
      <alignment horizontal="right"/>
    </xf>
    <xf numFmtId="2" fontId="0" fillId="5" borderId="12" xfId="0" applyNumberFormat="1" applyFill="1" applyBorder="1" applyAlignment="1">
      <alignment horizontal="right"/>
    </xf>
    <xf numFmtId="0" fontId="2" fillId="0" borderId="0" xfId="0" applyFont="1"/>
    <xf numFmtId="0" fontId="10" fillId="0" borderId="0" xfId="0" applyFont="1" applyFill="1"/>
    <xf numFmtId="0" fontId="0" fillId="4" borderId="0" xfId="0" applyFont="1" applyFill="1" applyProtection="1">
      <protection locked="0" hidden="1"/>
    </xf>
    <xf numFmtId="0" fontId="4" fillId="0" borderId="0" xfId="0" applyFont="1" applyAlignment="1">
      <alignment horizontal="right"/>
    </xf>
    <xf numFmtId="0" fontId="0" fillId="0" borderId="0" xfId="0" applyAlignment="1">
      <alignment horizontal="left"/>
    </xf>
    <xf numFmtId="0" fontId="0" fillId="0" borderId="0" xfId="0" applyFill="1" applyBorder="1" applyAlignment="1">
      <alignment horizontal="right"/>
    </xf>
    <xf numFmtId="164" fontId="0" fillId="5" borderId="1" xfId="0" applyNumberFormat="1" applyFill="1" applyBorder="1"/>
    <xf numFmtId="0" fontId="11" fillId="0" borderId="0" xfId="0" applyFont="1" applyAlignment="1">
      <alignment horizontal="right" vertical="center"/>
    </xf>
    <xf numFmtId="0" fontId="11" fillId="0" borderId="0" xfId="0" applyFont="1"/>
    <xf numFmtId="2" fontId="11" fillId="0" borderId="0" xfId="0" applyNumberFormat="1" applyFont="1" applyAlignment="1">
      <alignment horizontal="right" vertical="center"/>
    </xf>
    <xf numFmtId="2" fontId="3" fillId="0" borderId="0" xfId="0" applyNumberFormat="1" applyFont="1" applyAlignment="1">
      <alignment horizontal="right"/>
    </xf>
    <xf numFmtId="0" fontId="3" fillId="0" borderId="0" xfId="0" applyFont="1" applyAlignment="1">
      <alignment horizontal="right"/>
    </xf>
    <xf numFmtId="0" fontId="12" fillId="0" borderId="0" xfId="0" applyFont="1"/>
    <xf numFmtId="0" fontId="0" fillId="4" borderId="0" xfId="0" applyFill="1" applyProtection="1">
      <protection locked="0"/>
    </xf>
    <xf numFmtId="2" fontId="0" fillId="5" borderId="7" xfId="0" applyNumberFormat="1" applyFill="1" applyBorder="1" applyAlignment="1">
      <alignment horizontal="right"/>
    </xf>
    <xf numFmtId="0" fontId="0" fillId="0" borderId="0" xfId="0" applyFont="1"/>
    <xf numFmtId="0" fontId="0" fillId="0" borderId="0" xfId="0" applyFont="1" applyAlignment="1">
      <alignment horizontal="right"/>
    </xf>
    <xf numFmtId="2" fontId="0" fillId="0" borderId="0" xfId="0" applyNumberFormat="1" applyFont="1"/>
    <xf numFmtId="0" fontId="0" fillId="0" borderId="0" xfId="0" applyFont="1" applyAlignment="1">
      <alignment horizontal="left"/>
    </xf>
    <xf numFmtId="0" fontId="0" fillId="7" borderId="18" xfId="0" applyFont="1" applyFill="1" applyBorder="1" applyAlignment="1">
      <alignment horizontal="center"/>
    </xf>
    <xf numFmtId="0" fontId="0" fillId="7" borderId="19" xfId="0" applyFont="1" applyFill="1" applyBorder="1" applyAlignment="1">
      <alignment horizontal="center"/>
    </xf>
    <xf numFmtId="0" fontId="0" fillId="0" borderId="0" xfId="0" applyFont="1" applyAlignment="1">
      <alignment horizontal="center"/>
    </xf>
    <xf numFmtId="0" fontId="0" fillId="3" borderId="21" xfId="0" applyFont="1" applyFill="1" applyBorder="1" applyAlignment="1">
      <alignment horizontal="center"/>
    </xf>
    <xf numFmtId="2" fontId="0" fillId="3" borderId="21" xfId="0" applyNumberFormat="1" applyFont="1" applyFill="1" applyBorder="1" applyAlignment="1">
      <alignment horizontal="center"/>
    </xf>
    <xf numFmtId="0" fontId="0" fillId="6" borderId="0" xfId="0" applyFont="1" applyFill="1"/>
    <xf numFmtId="14" fontId="0" fillId="0" borderId="0" xfId="0" applyNumberFormat="1" applyFont="1"/>
    <xf numFmtId="164" fontId="0" fillId="0" borderId="0" xfId="0" applyNumberFormat="1" applyFont="1"/>
    <xf numFmtId="2" fontId="0" fillId="0" borderId="0" xfId="0" applyNumberFormat="1" applyFont="1" applyAlignment="1">
      <alignment horizontal="right"/>
    </xf>
    <xf numFmtId="0" fontId="0" fillId="0" borderId="0" xfId="0" applyFont="1" applyBorder="1"/>
    <xf numFmtId="0" fontId="13" fillId="0" borderId="0" xfId="0" applyFont="1" applyAlignment="1">
      <alignment vertical="center"/>
    </xf>
    <xf numFmtId="0" fontId="13" fillId="0" borderId="0" xfId="0" applyFont="1" applyAlignment="1">
      <alignment horizontal="right" vertical="center"/>
    </xf>
    <xf numFmtId="0" fontId="8" fillId="6"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0" fillId="4" borderId="0" xfId="0" applyFill="1" applyAlignment="1" applyProtection="1">
      <alignment horizontal="center"/>
      <protection locked="0" hidden="1"/>
    </xf>
    <xf numFmtId="0" fontId="11" fillId="0" borderId="0" xfId="0" applyFont="1" applyAlignment="1">
      <alignment horizontal="center"/>
    </xf>
    <xf numFmtId="2" fontId="11" fillId="0" borderId="21" xfId="0" applyNumberFormat="1" applyFont="1" applyBorder="1"/>
    <xf numFmtId="2" fontId="11" fillId="0" borderId="24" xfId="0" applyNumberFormat="1" applyFont="1" applyBorder="1"/>
    <xf numFmtId="2" fontId="0" fillId="0" borderId="25" xfId="0" applyNumberFormat="1" applyFont="1" applyBorder="1" applyAlignment="1">
      <alignment horizontal="center"/>
    </xf>
    <xf numFmtId="2" fontId="11" fillId="0" borderId="26" xfId="0" applyNumberFormat="1" applyFont="1" applyBorder="1"/>
    <xf numFmtId="2" fontId="11" fillId="0" borderId="21" xfId="0" applyNumberFormat="1" applyFont="1" applyBorder="1" applyAlignment="1">
      <alignment horizontal="right"/>
    </xf>
    <xf numFmtId="0" fontId="0" fillId="3" borderId="27" xfId="0" applyFont="1" applyFill="1" applyBorder="1" applyAlignment="1">
      <alignment horizontal="center"/>
    </xf>
    <xf numFmtId="2" fontId="0" fillId="0" borderId="28" xfId="0" applyNumberFormat="1" applyFont="1" applyBorder="1" applyAlignment="1">
      <alignment horizontal="center"/>
    </xf>
    <xf numFmtId="2" fontId="11" fillId="0" borderId="26" xfId="0" applyNumberFormat="1" applyFont="1" applyBorder="1" applyAlignment="1">
      <alignment horizontal="right"/>
    </xf>
    <xf numFmtId="0" fontId="0" fillId="0" borderId="0" xfId="0" applyFont="1" applyFill="1" applyBorder="1" applyAlignment="1">
      <alignment horizontal="right"/>
    </xf>
    <xf numFmtId="0" fontId="0" fillId="8" borderId="2" xfId="0" applyFont="1" applyFill="1" applyBorder="1" applyAlignment="1">
      <alignment horizontal="center"/>
    </xf>
    <xf numFmtId="2" fontId="11" fillId="0" borderId="0" xfId="0" applyNumberFormat="1" applyFont="1" applyBorder="1" applyAlignment="1">
      <alignment horizontal="right"/>
    </xf>
    <xf numFmtId="0" fontId="0" fillId="0" borderId="30" xfId="0" applyFont="1" applyBorder="1"/>
    <xf numFmtId="0" fontId="0" fillId="0" borderId="31" xfId="0" applyFont="1" applyBorder="1" applyAlignment="1">
      <alignment horizontal="center"/>
    </xf>
    <xf numFmtId="0" fontId="0" fillId="0" borderId="22" xfId="0" applyFont="1" applyBorder="1" applyAlignment="1">
      <alignment horizontal="center"/>
    </xf>
    <xf numFmtId="2" fontId="0" fillId="0" borderId="21" xfId="0" applyNumberFormat="1" applyFont="1" applyBorder="1" applyAlignment="1">
      <alignment horizontal="center"/>
    </xf>
    <xf numFmtId="9" fontId="0" fillId="0" borderId="21" xfId="0" applyNumberFormat="1" applyFont="1" applyBorder="1" applyAlignment="1">
      <alignment horizontal="center"/>
    </xf>
    <xf numFmtId="0" fontId="0" fillId="0" borderId="21" xfId="0" applyFont="1" applyBorder="1" applyAlignment="1">
      <alignment horizontal="center"/>
    </xf>
    <xf numFmtId="0" fontId="14" fillId="0" borderId="0" xfId="0" applyFont="1" applyBorder="1"/>
    <xf numFmtId="0" fontId="0" fillId="0" borderId="9" xfId="0" applyFont="1" applyBorder="1"/>
    <xf numFmtId="0" fontId="0" fillId="0" borderId="32"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2" fontId="0" fillId="0" borderId="36" xfId="0" applyNumberFormat="1" applyFont="1" applyBorder="1" applyAlignment="1">
      <alignment horizontal="center"/>
    </xf>
    <xf numFmtId="9" fontId="0" fillId="0" borderId="36" xfId="0" applyNumberFormat="1" applyFont="1" applyBorder="1" applyAlignment="1">
      <alignment horizontal="center"/>
    </xf>
    <xf numFmtId="0" fontId="15" fillId="0" borderId="0" xfId="0" applyFont="1" applyAlignment="1">
      <alignment horizontal="right"/>
    </xf>
    <xf numFmtId="0" fontId="16" fillId="0" borderId="0" xfId="0" applyFont="1" applyAlignment="1">
      <alignment vertical="center"/>
    </xf>
    <xf numFmtId="0" fontId="0" fillId="0" borderId="1" xfId="0" applyFont="1" applyFill="1" applyBorder="1" applyAlignment="1">
      <alignment horizontal="center"/>
    </xf>
    <xf numFmtId="0" fontId="0" fillId="4" borderId="0" xfId="0" applyFill="1" applyAlignment="1" applyProtection="1">
      <alignment horizontal="left"/>
      <protection locked="0" hidden="1"/>
    </xf>
    <xf numFmtId="0" fontId="8" fillId="0" borderId="0" xfId="0" applyFont="1" applyBorder="1" applyAlignment="1">
      <alignment vertical="center"/>
    </xf>
    <xf numFmtId="0" fontId="8" fillId="0" borderId="0" xfId="0" applyFont="1" applyFill="1" applyBorder="1" applyAlignment="1">
      <alignment vertical="center"/>
    </xf>
    <xf numFmtId="0" fontId="0" fillId="0" borderId="0" xfId="0" applyFont="1" applyFill="1" applyAlignment="1">
      <alignment horizontal="right"/>
    </xf>
    <xf numFmtId="0" fontId="3" fillId="0" borderId="0" xfId="0" applyFont="1" applyAlignment="1">
      <alignment horizontal="center"/>
    </xf>
    <xf numFmtId="0" fontId="2" fillId="0" borderId="0" xfId="0" applyFont="1" applyFill="1"/>
    <xf numFmtId="0" fontId="2" fillId="3" borderId="0" xfId="0" applyFont="1" applyFill="1"/>
    <xf numFmtId="2" fontId="19" fillId="0" borderId="0" xfId="0" applyNumberFormat="1" applyFont="1"/>
    <xf numFmtId="0" fontId="13" fillId="0" borderId="0" xfId="0" applyFont="1"/>
    <xf numFmtId="14" fontId="2" fillId="0" borderId="0" xfId="0" applyNumberFormat="1" applyFont="1"/>
    <xf numFmtId="0" fontId="0" fillId="4" borderId="0" xfId="0" applyFill="1" applyAlignment="1" applyProtection="1">
      <alignment horizontal="right"/>
      <protection locked="0" hidden="1"/>
    </xf>
    <xf numFmtId="0" fontId="8" fillId="0" borderId="0" xfId="1" applyNumberFormat="1" applyFont="1" applyBorder="1" applyAlignment="1">
      <alignment horizontal="center" vertical="center"/>
    </xf>
    <xf numFmtId="0" fontId="0" fillId="4" borderId="0" xfId="0" applyFill="1" applyAlignment="1" applyProtection="1">
      <alignment horizontal="left"/>
      <protection locked="0" hidden="1"/>
    </xf>
    <xf numFmtId="0" fontId="0" fillId="0" borderId="0" xfId="0" applyBorder="1"/>
    <xf numFmtId="0" fontId="2" fillId="0" borderId="0" xfId="0" applyFont="1" applyBorder="1"/>
    <xf numFmtId="165" fontId="2" fillId="0" borderId="0" xfId="0" applyNumberFormat="1" applyFont="1"/>
    <xf numFmtId="2" fontId="2" fillId="0" borderId="0" xfId="0" applyNumberFormat="1" applyFont="1"/>
    <xf numFmtId="0" fontId="2" fillId="7" borderId="0" xfId="0" applyFont="1" applyFill="1"/>
    <xf numFmtId="164" fontId="2" fillId="7" borderId="0" xfId="0" applyNumberFormat="1" applyFont="1" applyFill="1"/>
    <xf numFmtId="0" fontId="2" fillId="0" borderId="0" xfId="0" applyFont="1" applyAlignment="1">
      <alignment textRotation="45"/>
    </xf>
    <xf numFmtId="0" fontId="18" fillId="0" borderId="0" xfId="0" applyFont="1"/>
    <xf numFmtId="0" fontId="2" fillId="0" borderId="0" xfId="0" applyFont="1" applyAlignment="1">
      <alignment horizontal="left"/>
    </xf>
    <xf numFmtId="164" fontId="2" fillId="0" borderId="0" xfId="0" applyNumberFormat="1" applyFont="1"/>
    <xf numFmtId="2" fontId="2" fillId="7" borderId="0" xfId="0" applyNumberFormat="1" applyFont="1" applyFill="1"/>
    <xf numFmtId="2" fontId="2" fillId="3" borderId="0" xfId="0" applyNumberFormat="1" applyFont="1" applyFill="1"/>
    <xf numFmtId="2" fontId="2" fillId="0" borderId="0" xfId="0" applyNumberFormat="1" applyFont="1" applyAlignment="1">
      <alignment horizontal="left"/>
    </xf>
    <xf numFmtId="2" fontId="2" fillId="9" borderId="0" xfId="0" applyNumberFormat="1" applyFont="1" applyFill="1"/>
    <xf numFmtId="2" fontId="19" fillId="7" borderId="0" xfId="0" applyNumberFormat="1" applyFont="1" applyFill="1" applyAlignment="1">
      <alignment horizontal="center"/>
    </xf>
    <xf numFmtId="2" fontId="19" fillId="10" borderId="0" xfId="0" applyNumberFormat="1" applyFont="1" applyFill="1" applyAlignment="1">
      <alignment horizontal="center"/>
    </xf>
    <xf numFmtId="2" fontId="20" fillId="0" borderId="0" xfId="0" applyNumberFormat="1" applyFont="1" applyAlignment="1">
      <alignment horizontal="left"/>
    </xf>
    <xf numFmtId="0" fontId="0" fillId="4" borderId="0" xfId="0" applyFill="1" applyAlignment="1" applyProtection="1">
      <alignment horizontal="left"/>
      <protection locked="0" hidden="1"/>
    </xf>
    <xf numFmtId="0" fontId="0" fillId="0" borderId="0" xfId="0" applyFont="1" applyBorder="1" applyAlignment="1">
      <alignment horizontal="right"/>
    </xf>
    <xf numFmtId="0" fontId="3" fillId="0" borderId="0" xfId="0" applyFont="1" applyBorder="1" applyAlignment="1">
      <alignment horizontal="right"/>
    </xf>
    <xf numFmtId="0" fontId="23" fillId="0" borderId="0" xfId="0" applyFont="1" applyAlignment="1">
      <alignment horizontal="justify" vertical="center"/>
    </xf>
    <xf numFmtId="0" fontId="24" fillId="0" borderId="0" xfId="0" applyFont="1" applyAlignment="1">
      <alignment horizontal="justify" vertical="center"/>
    </xf>
    <xf numFmtId="0" fontId="3" fillId="0" borderId="0" xfId="0" applyFont="1" applyAlignment="1">
      <alignment horizontal="left" vertical="center"/>
    </xf>
    <xf numFmtId="0" fontId="0" fillId="0" borderId="0" xfId="0" applyAlignment="1">
      <alignment horizontal="left" vertical="top" wrapText="1"/>
    </xf>
    <xf numFmtId="0" fontId="0" fillId="5" borderId="16" xfId="0" applyFont="1" applyFill="1" applyBorder="1" applyAlignment="1">
      <alignment wrapText="1"/>
    </xf>
    <xf numFmtId="0" fontId="0" fillId="0" borderId="17" xfId="0" applyBorder="1" applyAlignment="1">
      <alignment wrapText="1"/>
    </xf>
    <xf numFmtId="0" fontId="0" fillId="4" borderId="0" xfId="0" applyFill="1" applyAlignment="1" applyProtection="1">
      <alignment horizontal="left" vertical="top" wrapText="1"/>
      <protection locked="0" hidden="1"/>
    </xf>
    <xf numFmtId="0" fontId="0" fillId="0" borderId="0" xfId="0" applyAlignment="1">
      <alignment horizontal="center" vertical="center" wrapText="1"/>
    </xf>
    <xf numFmtId="0" fontId="0" fillId="4" borderId="0" xfId="0" applyFill="1" applyAlignment="1" applyProtection="1">
      <alignment horizontal="left"/>
      <protection locked="0" hidden="1"/>
    </xf>
    <xf numFmtId="0" fontId="0" fillId="0" borderId="2" xfId="0" applyFont="1" applyBorder="1" applyAlignment="1">
      <alignment horizontal="center" vertical="center" wrapText="1"/>
    </xf>
    <xf numFmtId="0" fontId="0" fillId="0" borderId="23" xfId="0" applyFont="1" applyBorder="1" applyAlignment="1">
      <alignment horizontal="center" vertical="center" wrapText="1"/>
    </xf>
    <xf numFmtId="0" fontId="8" fillId="0" borderId="0" xfId="0" applyFont="1" applyBorder="1" applyAlignment="1">
      <alignment horizontal="left" vertical="top" wrapText="1"/>
    </xf>
    <xf numFmtId="0" fontId="11" fillId="0" borderId="3" xfId="0" applyFont="1" applyBorder="1" applyAlignment="1">
      <alignment horizontal="center" wrapText="1"/>
    </xf>
    <xf numFmtId="0" fontId="11" fillId="0" borderId="23" xfId="0" applyFont="1" applyBorder="1" applyAlignment="1">
      <alignment horizontal="center" wrapText="1"/>
    </xf>
    <xf numFmtId="0" fontId="0" fillId="7" borderId="2" xfId="0" applyFont="1" applyFill="1" applyBorder="1" applyAlignment="1">
      <alignment horizontal="center" vertical="top" wrapText="1"/>
    </xf>
    <xf numFmtId="0" fontId="0" fillId="7" borderId="4" xfId="0" applyFont="1" applyFill="1" applyBorder="1" applyAlignment="1">
      <alignment horizontal="center" vertical="top" wrapText="1"/>
    </xf>
    <xf numFmtId="14" fontId="0" fillId="8" borderId="18" xfId="0" applyNumberFormat="1" applyFont="1" applyFill="1" applyBorder="1" applyAlignment="1">
      <alignment horizontal="left" vertical="top"/>
    </xf>
    <xf numFmtId="0" fontId="0" fillId="8" borderId="20" xfId="0" applyFont="1" applyFill="1" applyBorder="1" applyAlignment="1">
      <alignment horizontal="left" vertical="top"/>
    </xf>
    <xf numFmtId="0" fontId="3" fillId="7" borderId="18" xfId="0" applyFont="1" applyFill="1" applyBorder="1" applyAlignment="1">
      <alignment horizontal="center"/>
    </xf>
    <xf numFmtId="0" fontId="3" fillId="7" borderId="19" xfId="0" applyFont="1" applyFill="1" applyBorder="1" applyAlignment="1">
      <alignment horizontal="center"/>
    </xf>
    <xf numFmtId="0" fontId="3" fillId="7" borderId="20" xfId="0" applyFont="1" applyFill="1" applyBorder="1" applyAlignment="1">
      <alignment horizontal="center"/>
    </xf>
    <xf numFmtId="2" fontId="0" fillId="0" borderId="29" xfId="0" applyNumberFormat="1" applyFont="1" applyBorder="1" applyAlignment="1">
      <alignment horizontal="left" wrapText="1"/>
    </xf>
    <xf numFmtId="0" fontId="8" fillId="0" borderId="32" xfId="0" applyFont="1" applyBorder="1" applyAlignment="1">
      <alignment horizontal="left" vertical="top" wrapText="1"/>
    </xf>
    <xf numFmtId="0" fontId="8" fillId="0" borderId="21" xfId="0" applyFont="1" applyBorder="1" applyAlignment="1">
      <alignment horizontal="left" vertical="top" wrapText="1"/>
    </xf>
    <xf numFmtId="0" fontId="8" fillId="0" borderId="33" xfId="0" applyFont="1" applyBorder="1" applyAlignment="1">
      <alignment horizontal="left" vertical="top" wrapText="1"/>
    </xf>
    <xf numFmtId="2" fontId="0" fillId="0" borderId="36" xfId="0" applyNumberFormat="1" applyFont="1" applyBorder="1" applyAlignment="1">
      <alignment horizontal="left" wrapText="1"/>
    </xf>
    <xf numFmtId="2" fontId="0" fillId="0" borderId="37" xfId="0" applyNumberFormat="1" applyFont="1" applyBorder="1" applyAlignment="1">
      <alignment horizontal="left" wrapText="1"/>
    </xf>
    <xf numFmtId="0" fontId="0" fillId="0" borderId="0" xfId="0" applyFont="1" applyAlignment="1">
      <alignment horizontal="left" vertical="top" wrapText="1"/>
    </xf>
    <xf numFmtId="0" fontId="0" fillId="0" borderId="38" xfId="0" applyFont="1" applyBorder="1" applyAlignment="1">
      <alignment horizontal="left" vertical="top" wrapText="1"/>
    </xf>
    <xf numFmtId="0" fontId="3" fillId="0" borderId="0" xfId="0" applyFont="1" applyAlignment="1">
      <alignment horizontal="left" vertical="top" wrapText="1"/>
    </xf>
    <xf numFmtId="0" fontId="0" fillId="0" borderId="0" xfId="0" applyFont="1" applyFill="1"/>
    <xf numFmtId="0" fontId="0" fillId="0" borderId="0" xfId="0" applyFont="1" applyFill="1" applyBorder="1"/>
    <xf numFmtId="164" fontId="0" fillId="0" borderId="0" xfId="0" applyNumberFormat="1" applyFont="1" applyFill="1"/>
    <xf numFmtId="0" fontId="8" fillId="0" borderId="0" xfId="0" applyFont="1" applyFill="1" applyAlignment="1">
      <alignment horizontal="right" vertical="center"/>
    </xf>
    <xf numFmtId="0" fontId="8" fillId="0" borderId="0" xfId="0" applyFont="1" applyFill="1" applyAlignment="1">
      <alignment vertical="center"/>
    </xf>
    <xf numFmtId="0" fontId="21" fillId="0" borderId="0" xfId="0" applyFont="1" applyFill="1" applyAlignment="1">
      <alignment vertical="center"/>
    </xf>
    <xf numFmtId="0" fontId="13" fillId="0" borderId="0" xfId="0" applyFont="1" applyFill="1" applyAlignment="1">
      <alignment vertical="center"/>
    </xf>
  </cellXfs>
  <cellStyles count="2">
    <cellStyle name="Standaard" xfId="0" builtinId="0"/>
    <cellStyle name="Valuta" xfId="1" builtinId="4"/>
  </cellStyles>
  <dxfs count="21">
    <dxf>
      <font>
        <color rgb="FF9C5700"/>
      </font>
      <fill>
        <patternFill>
          <bgColor rgb="FFFFEB9C"/>
        </patternFill>
      </fill>
    </dxf>
    <dxf>
      <font>
        <color rgb="FF9C0006"/>
      </font>
      <fill>
        <patternFill>
          <bgColor rgb="FFFFC7CE"/>
        </patternFill>
      </fill>
    </dxf>
    <dxf>
      <font>
        <b/>
        <i val="0"/>
      </font>
      <fill>
        <patternFill>
          <bgColor rgb="FFFF0000"/>
        </patternFill>
      </fill>
    </dxf>
    <dxf>
      <fill>
        <patternFill>
          <bgColor rgb="FFFFC000"/>
        </patternFill>
      </fill>
    </dxf>
    <dxf>
      <fill>
        <patternFill>
          <bgColor rgb="FFFF0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b/>
        <i val="0"/>
      </font>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b/>
        <i val="0"/>
        <color rgb="FFC00000"/>
      </font>
      <fill>
        <patternFill patternType="none">
          <bgColor auto="1"/>
        </patternFill>
      </fill>
    </dxf>
    <dxf>
      <font>
        <color rgb="FF9C0006"/>
      </font>
      <fill>
        <patternFill>
          <bgColor rgb="FFFFC7CE"/>
        </patternFill>
      </fill>
    </dxf>
    <dxf>
      <font>
        <color auto="1"/>
      </font>
      <fill>
        <patternFill>
          <fgColor indexed="64"/>
          <bgColor theme="6" tint="0.59996337778862885"/>
        </patternFill>
      </fill>
    </dxf>
    <dxf>
      <border>
        <left style="thin">
          <color indexed="64"/>
        </left>
        <right style="thin">
          <color indexed="64"/>
        </right>
        <top style="thin">
          <color indexed="64"/>
        </top>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104775</xdr:colOff>
          <xdr:row>3</xdr:row>
          <xdr:rowOff>123825</xdr:rowOff>
        </xdr:from>
        <xdr:to>
          <xdr:col>1</xdr:col>
          <xdr:colOff>1733550</xdr:colOff>
          <xdr:row>6</xdr:row>
          <xdr:rowOff>200025</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HERBEGIN. Druk op deze knop om alles terug op de startwaarde te zetten.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1905000</xdr:colOff>
          <xdr:row>3</xdr:row>
          <xdr:rowOff>142875</xdr:rowOff>
        </xdr:from>
        <xdr:to>
          <xdr:col>1</xdr:col>
          <xdr:colOff>3505200</xdr:colOff>
          <xdr:row>6</xdr:row>
          <xdr:rowOff>200025</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Druk een voorstel af</a:t>
              </a:r>
            </a:p>
          </xdr:txBody>
        </xdr:sp>
        <xdr:clientData fPrintsWithSheet="0"/>
      </xdr:twoCellAnchor>
    </mc:Choice>
    <mc:Fallback/>
  </mc:AlternateContent>
  <xdr:twoCellAnchor>
    <xdr:from>
      <xdr:col>1</xdr:col>
      <xdr:colOff>4019550</xdr:colOff>
      <xdr:row>22</xdr:row>
      <xdr:rowOff>171450</xdr:rowOff>
    </xdr:from>
    <xdr:to>
      <xdr:col>1</xdr:col>
      <xdr:colOff>4162425</xdr:colOff>
      <xdr:row>23</xdr:row>
      <xdr:rowOff>133350</xdr:rowOff>
    </xdr:to>
    <xdr:sp macro="" textlink="">
      <xdr:nvSpPr>
        <xdr:cNvPr id="2" name="PIJL-OMLAAG 1">
          <a:extLst>
            <a:ext uri="{FF2B5EF4-FFF2-40B4-BE49-F238E27FC236}">
              <a16:creationId xmlns:a16="http://schemas.microsoft.com/office/drawing/2014/main" id="{00000000-0008-0000-0000-000002000000}"/>
            </a:ext>
          </a:extLst>
        </xdr:cNvPr>
        <xdr:cNvSpPr/>
      </xdr:nvSpPr>
      <xdr:spPr>
        <a:xfrm>
          <a:off x="4086225" y="4648200"/>
          <a:ext cx="142875" cy="1524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BE"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542925</xdr:colOff>
          <xdr:row>1</xdr:row>
          <xdr:rowOff>38100</xdr:rowOff>
        </xdr:from>
        <xdr:to>
          <xdr:col>9</xdr:col>
          <xdr:colOff>361950</xdr:colOff>
          <xdr:row>3</xdr:row>
          <xdr:rowOff>85725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Druk dit voorstel af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171450</xdr:colOff>
          <xdr:row>1</xdr:row>
          <xdr:rowOff>171450</xdr:rowOff>
        </xdr:from>
        <xdr:to>
          <xdr:col>19</xdr:col>
          <xdr:colOff>342900</xdr:colOff>
          <xdr:row>3</xdr:row>
          <xdr:rowOff>47625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open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3</xdr:row>
          <xdr:rowOff>161925</xdr:rowOff>
        </xdr:from>
        <xdr:to>
          <xdr:col>19</xdr:col>
          <xdr:colOff>361950</xdr:colOff>
          <xdr:row>4</xdr:row>
          <xdr:rowOff>180975</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close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5</xdr:row>
          <xdr:rowOff>76200</xdr:rowOff>
        </xdr:from>
        <xdr:to>
          <xdr:col>19</xdr:col>
          <xdr:colOff>352425</xdr:colOff>
          <xdr:row>6</xdr:row>
          <xdr:rowOff>161925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BAH</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7</xdr:row>
          <xdr:rowOff>123825</xdr:rowOff>
        </xdr:from>
        <xdr:to>
          <xdr:col>19</xdr:col>
          <xdr:colOff>238125</xdr:colOff>
          <xdr:row>8</xdr:row>
          <xdr:rowOff>161925</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Prt p 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228600</xdr:colOff>
          <xdr:row>9</xdr:row>
          <xdr:rowOff>95250</xdr:rowOff>
        </xdr:from>
        <xdr:to>
          <xdr:col>19</xdr:col>
          <xdr:colOff>257175</xdr:colOff>
          <xdr:row>10</xdr:row>
          <xdr:rowOff>142875</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nl-BE" sz="1100" b="0" i="0" u="none" strike="noStrike" baseline="0">
                  <a:solidFill>
                    <a:srgbClr val="000000"/>
                  </a:solidFill>
                  <a:latin typeface="Calibri"/>
                  <a:cs typeface="Calibri"/>
                </a:rPr>
                <a:t>Prt p 2</a:t>
              </a:r>
            </a:p>
          </xdr:txBody>
        </xdr:sp>
        <xdr:clientData fPrintsWithSheet="0"/>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B1:AG173"/>
  <sheetViews>
    <sheetView showGridLines="0" showRowColHeaders="0" showZeros="0" tabSelected="1" zoomScaleNormal="100" workbookViewId="0">
      <pane ySplit="9" topLeftCell="A10" activePane="bottomLeft" state="frozen"/>
      <selection pane="bottomLeft" activeCell="B12" sqref="B12"/>
    </sheetView>
  </sheetViews>
  <sheetFormatPr defaultRowHeight="15" x14ac:dyDescent="0.25"/>
  <cols>
    <col min="1" max="1" width="1" customWidth="1"/>
    <col min="2" max="2" width="94.42578125" customWidth="1"/>
    <col min="3" max="3" width="1" customWidth="1"/>
    <col min="4" max="4" width="10" style="2" customWidth="1"/>
    <col min="5" max="5" width="5.140625" customWidth="1"/>
    <col min="6" max="6" width="21.5703125" customWidth="1"/>
    <col min="7" max="7" width="8.5703125" customWidth="1"/>
    <col min="8" max="8" width="21.7109375" bestFit="1" customWidth="1"/>
    <col min="9" max="9" width="7.140625" customWidth="1"/>
    <col min="10" max="10" width="23.42578125" customWidth="1"/>
    <col min="11" max="11" width="10.7109375" customWidth="1"/>
    <col min="12" max="12" width="9.7109375" bestFit="1" customWidth="1"/>
    <col min="27" max="27" width="10.7109375" style="35" bestFit="1" customWidth="1"/>
    <col min="28" max="31" width="9.140625" style="35"/>
  </cols>
  <sheetData>
    <row r="1" spans="2:27" ht="15.75" x14ac:dyDescent="0.25">
      <c r="B1" s="16" t="s">
        <v>106</v>
      </c>
      <c r="L1" s="110">
        <f ca="1">TODAY()</f>
        <v>44868</v>
      </c>
    </row>
    <row r="3" spans="2:27" ht="15.75" x14ac:dyDescent="0.25">
      <c r="B3" s="16" t="str">
        <f>"Rekenmodule recepties en babyborrels.  " &amp; matrixen!B1</f>
        <v>Rekenmodule recepties en babyborrels.  Prijzen geldig tot 31/03/2023</v>
      </c>
    </row>
    <row r="4" spans="2:27" ht="15.75" thickBot="1" x14ac:dyDescent="0.3"/>
    <row r="5" spans="2:27" x14ac:dyDescent="0.25">
      <c r="F5" s="10" t="s">
        <v>81</v>
      </c>
      <c r="G5" s="9"/>
      <c r="H5" s="10" t="s">
        <v>81</v>
      </c>
      <c r="I5" s="9"/>
      <c r="J5" s="10" t="s">
        <v>81</v>
      </c>
    </row>
    <row r="6" spans="2:27" ht="15.75" thickBot="1" x14ac:dyDescent="0.3">
      <c r="D6" s="45" t="str">
        <f ca="1">IF(TODAY()&gt;AA11,"Deze module is niet meer geldig.","")</f>
        <v/>
      </c>
      <c r="F6" s="11" t="s">
        <v>80</v>
      </c>
      <c r="G6" s="9"/>
      <c r="H6" s="11" t="s">
        <v>82</v>
      </c>
      <c r="I6" s="9"/>
      <c r="J6" s="11" t="s">
        <v>83</v>
      </c>
    </row>
    <row r="7" spans="2:27" ht="21.75" thickBot="1" x14ac:dyDescent="0.4">
      <c r="B7" s="5" t="s">
        <v>72</v>
      </c>
      <c r="C7" s="6"/>
      <c r="D7" s="7">
        <f>SUM(D12:D86)+C57+C58+C59</f>
        <v>0</v>
      </c>
      <c r="E7" s="3"/>
      <c r="F7" s="12" t="s">
        <v>104</v>
      </c>
      <c r="G7" s="8"/>
      <c r="H7" s="13">
        <f>ROUND(D7/3,2)</f>
        <v>0</v>
      </c>
      <c r="I7" s="8"/>
      <c r="J7" s="13">
        <f>ROUND(D7/2,2)</f>
        <v>0</v>
      </c>
    </row>
    <row r="8" spans="2:27" ht="12.75" customHeight="1" x14ac:dyDescent="0.25">
      <c r="B8" s="42"/>
      <c r="C8" s="43"/>
      <c r="D8" s="44"/>
    </row>
    <row r="9" spans="2:27" ht="26.25" x14ac:dyDescent="0.4">
      <c r="B9" s="4" t="s">
        <v>105</v>
      </c>
      <c r="D9" s="21">
        <f>IF(D13&gt;0,"U koos nog geen receptieformule",0)</f>
        <v>0</v>
      </c>
    </row>
    <row r="10" spans="2:27" x14ac:dyDescent="0.25">
      <c r="B10" t="s">
        <v>73</v>
      </c>
      <c r="D10" s="15" t="s">
        <v>75</v>
      </c>
      <c r="F10" s="14" t="s">
        <v>71</v>
      </c>
      <c r="J10" s="14" t="s">
        <v>66</v>
      </c>
    </row>
    <row r="11" spans="2:27" ht="18.75" customHeight="1" x14ac:dyDescent="0.25">
      <c r="B11" s="105" t="s">
        <v>327</v>
      </c>
      <c r="AA11" s="110" t="str">
        <f>matrixen!B1</f>
        <v>Prijzen geldig tot 31/03/2023</v>
      </c>
    </row>
    <row r="12" spans="2:27" x14ac:dyDescent="0.25">
      <c r="B12" s="17" t="s">
        <v>78</v>
      </c>
      <c r="D12" s="2">
        <f>VLOOKUP(B12,matrixen!B13:I23,8,FALSE)</f>
        <v>0</v>
      </c>
      <c r="F12">
        <f>IFERROR(HLOOKUP($B$12,matrixen!$K$14:$V$22,2,FALSE),"&lt;= U moet eerst een receptieformule kiezen")</f>
        <v>0</v>
      </c>
      <c r="J12">
        <f>HLOOKUP($B$12,matrixen!$W$14:$AH$465,2,FALSE)</f>
        <v>0</v>
      </c>
      <c r="AA12" s="106" t="str">
        <f>matrixen!B13</f>
        <v>Maak in dit vak uw keuze</v>
      </c>
    </row>
    <row r="13" spans="2:27" x14ac:dyDescent="0.25">
      <c r="B13" s="35" t="s">
        <v>78</v>
      </c>
      <c r="D13" s="20"/>
      <c r="F13">
        <f>HLOOKUP($B$12,matrixen!$K$14:$V$22,3,FALSE)</f>
        <v>0</v>
      </c>
      <c r="J13">
        <f>HLOOKUP($B$12,matrixen!$W$14:$AH$465,3,FALSE)</f>
        <v>0</v>
      </c>
      <c r="AA13" s="106" t="str">
        <f>matrixen!B14</f>
        <v>Babyborrel</v>
      </c>
    </row>
    <row r="14" spans="2:27" x14ac:dyDescent="0.25">
      <c r="B14" s="105" t="str">
        <f>IF(F12="U moet een receptieformule kiezen", "Kies hierboven een receptieformule!!","")</f>
        <v/>
      </c>
      <c r="D14" s="2">
        <f>IF(OR(B12="",D12=0),0,IF(AND(OR(B12=matrixen!B14,B12 = matrixen!B15),YEAR(F48)=2018),-2,0))</f>
        <v>0</v>
      </c>
      <c r="F14">
        <f>HLOOKUP($B$12,matrixen!$K$14:$V$22,4,FALSE)</f>
        <v>0</v>
      </c>
      <c r="J14">
        <f>HLOOKUP($B$12,matrixen!$W$14:$AH$465,4,FALSE)</f>
        <v>0</v>
      </c>
      <c r="AA14" s="106" t="str">
        <f>matrixen!B15</f>
        <v>Partyformule</v>
      </c>
    </row>
    <row r="15" spans="2:27" x14ac:dyDescent="0.25">
      <c r="B15" t="s">
        <v>185</v>
      </c>
      <c r="F15" s="137">
        <f>HLOOKUP($B$12,matrixen!$K$14:$V$22,5,FALSE)</f>
        <v>0</v>
      </c>
      <c r="G15" s="137"/>
      <c r="J15">
        <f>HLOOKUP($B$12,matrixen!$W$14:$AH$465,5,FALSE)</f>
        <v>0</v>
      </c>
      <c r="AA15" s="106" t="str">
        <f>matrixen!B16</f>
        <v>Receptie E</v>
      </c>
    </row>
    <row r="16" spans="2:27" x14ac:dyDescent="0.25">
      <c r="B16" s="17" t="s">
        <v>363</v>
      </c>
      <c r="F16">
        <f>HLOOKUP($B$12,matrixen!$K$14:$V$22,6,FALSE)</f>
        <v>0</v>
      </c>
      <c r="J16">
        <f>HLOOKUP($B$12,matrixen!$W$14:$AH$465,6,FALSE)</f>
        <v>0</v>
      </c>
      <c r="AA16" s="106" t="str">
        <f>matrixen!B17</f>
        <v>Receptie A</v>
      </c>
    </row>
    <row r="17" spans="2:27" x14ac:dyDescent="0.25">
      <c r="B17" s="35" t="s">
        <v>363</v>
      </c>
      <c r="F17">
        <f>HLOOKUP($B$12,matrixen!$K$14:$V$22,7,FALSE)</f>
        <v>0</v>
      </c>
      <c r="J17">
        <f>HLOOKUP($B$12,matrixen!$W$14:$AH$465,7,FALSE)</f>
        <v>0</v>
      </c>
      <c r="AA17" s="106" t="str">
        <f>matrixen!B18</f>
        <v>Uitgebreide receptie, alle doelen</v>
      </c>
    </row>
    <row r="18" spans="2:27" x14ac:dyDescent="0.25">
      <c r="B18" s="35" t="s">
        <v>186</v>
      </c>
      <c r="F18">
        <f>HLOOKUP($B$12,matrixen!$K$14:$V$22,8,FALSE)</f>
        <v>0</v>
      </c>
      <c r="J18">
        <f>HLOOKUP($B$12,matrixen!$W$14:$AH$465,8,FALSE)</f>
        <v>0</v>
      </c>
      <c r="AA18" s="106" t="str">
        <f>matrixen!B19</f>
        <v>Free-flow 1 maaltijd-receptieformule met buffetjes en warme hapjes</v>
      </c>
    </row>
    <row r="19" spans="2:27" x14ac:dyDescent="0.25">
      <c r="B19" s="1" t="s">
        <v>74</v>
      </c>
      <c r="F19">
        <f>HLOOKUP($B$12,matrixen!$K$14:$V$22,9,FALSE)</f>
        <v>0</v>
      </c>
      <c r="J19">
        <f>HLOOKUP($B$12,matrixen!$W$14:$AH$465,9,FALSE)</f>
        <v>0</v>
      </c>
      <c r="AA19" s="106" t="str">
        <f>matrixen!B20</f>
        <v>Free-flow 1 maaltijd-receptieformule met buffetjes en warme hapjes en extra gerookte zalm en krabsalade</v>
      </c>
    </row>
    <row r="20" spans="2:27" x14ac:dyDescent="0.25">
      <c r="J20">
        <f>HLOOKUP($B$12,matrixen!$W$14:$AH$465,10,FALSE)</f>
        <v>0</v>
      </c>
      <c r="AA20" s="106">
        <f>matrixen!B21</f>
        <v>0</v>
      </c>
    </row>
    <row r="21" spans="2:27" x14ac:dyDescent="0.25">
      <c r="B21" s="17" t="s">
        <v>228</v>
      </c>
      <c r="D21" s="2">
        <f>VLOOKUP(B21,matrixen!B25:I28,8,FALSE)</f>
        <v>0</v>
      </c>
      <c r="F21" s="1" t="str">
        <f>IF(B12=matrixen!L14,"Rec G: kies hier uw andere hapjes","")</f>
        <v/>
      </c>
      <c r="J21">
        <f>HLOOKUP($B$12,matrixen!$W$14:$AH$465,11,FALSE)</f>
        <v>0</v>
      </c>
      <c r="AA21" s="106" t="str">
        <f>matrixen!B22</f>
        <v>Free-flow 2 maaltijd-receptieformule met buffetjes en warme hapjes</v>
      </c>
    </row>
    <row r="22" spans="2:27" x14ac:dyDescent="0.25">
      <c r="B22" s="35" t="s">
        <v>228</v>
      </c>
      <c r="J22">
        <f>HLOOKUP($B$12,matrixen!$W$14:$AH$465,12,FALSE)</f>
        <v>0</v>
      </c>
      <c r="AA22" s="106" t="str">
        <f>matrixen!B23</f>
        <v>Free-flow 2 maaltijd-receptieformule met buffetjes en warme hapjes en extra gerookte zalm en krabsalade</v>
      </c>
    </row>
    <row r="23" spans="2:27" x14ac:dyDescent="0.25">
      <c r="B23" s="1" t="str">
        <f>IFERROR(IF(B12=matrixen!N14,"U selecteerde receptie E. Kies hieronder 4 hapjes.",IF(B12=matrixen!L14,"U koos receptie G, ideaal voor een babyborrel. Kies eerst hieronder 4 hapjes en de rest in deze gele vakjes rechts =&gt;",IF(B12=matrixen!R14,"U koos receptie A. U kunt hapjes toevoegen als u dat wenst.",IF(SEARCH("Free",B12),"In de free flow recepties mag u 5 hapjes kiezen","")))),"Kies eerst hierboven in het gele vak, net onder het oranje vak een formule!")</f>
        <v>Kies eerst hierboven in het gele vak, net onder het oranje vak een formule!</v>
      </c>
      <c r="F23" s="142"/>
      <c r="G23" s="142"/>
      <c r="H23" s="142"/>
      <c r="I23" s="142"/>
      <c r="J23">
        <f>HLOOKUP($B$12,matrixen!$W$14:$AH$465,13,FALSE)</f>
        <v>0</v>
      </c>
      <c r="AA23" s="106">
        <f>matrixen!B24</f>
        <v>0</v>
      </c>
    </row>
    <row r="24" spans="2:27" x14ac:dyDescent="0.25">
      <c r="B24" s="2">
        <f>IF(SUM(D24:D26)&gt;0,"Toeslag voor extra hapjes hapjes:",0)</f>
        <v>0</v>
      </c>
      <c r="D24" s="2">
        <f>IF(AND(COUNTA($B$25:$B$28)+COUNTA($F$23:$I$27)&gt;4,$B$12=matrixen!N14),((COUNTA($B$25:$B$28)+COUNTA($F$23:$I$27))-4)*matrixen!$I$49,0)</f>
        <v>0</v>
      </c>
      <c r="F24" s="142"/>
      <c r="G24" s="142"/>
      <c r="H24" s="142"/>
      <c r="I24" s="142"/>
      <c r="J24">
        <f>HLOOKUP($B$12,matrixen!$W$14:$AH$465,14,FALSE)</f>
        <v>0</v>
      </c>
      <c r="AA24" s="106" t="str">
        <f>matrixen!B25</f>
        <v>Schuimwijn van het huis (reeds inbegrepen)</v>
      </c>
    </row>
    <row r="25" spans="2:27" x14ac:dyDescent="0.25">
      <c r="B25" s="17"/>
      <c r="D25" s="2">
        <f>IF(AND(COUNTA($B$25:$B$28)+COUNTA($F$23:$I$27)&gt;0,$B$12=matrixen!R14),((COUNTA($B$25:$B$28)+COUNTA($F$23:$I$27)))*matrixen!$I$49,0)</f>
        <v>0</v>
      </c>
      <c r="F25" s="142"/>
      <c r="G25" s="142"/>
      <c r="H25" s="142"/>
      <c r="I25" s="142"/>
      <c r="J25">
        <f>HLOOKUP($B$12,matrixen!$W$14:$AH$465,15,FALSE)</f>
        <v>0</v>
      </c>
      <c r="AA25" s="106" t="str">
        <f>matrixen!B26</f>
        <v>Cava</v>
      </c>
    </row>
    <row r="26" spans="2:27" x14ac:dyDescent="0.25">
      <c r="B26" s="17"/>
      <c r="D26" s="2">
        <f>IF(AND(COUNTA($B$25:$B$28)+COUNTA($F$23:$I$27)&gt;5,OR($B$12=matrixen!S14,B12=matrixen!T14,B12=matrixen!U14,B12=matrixen!V14)),((COUNTA($B$25:$B$28)+COUNTA($F$23:$I$27))-5)*matrixen!$I$49,0)</f>
        <v>0</v>
      </c>
      <c r="F26" s="142"/>
      <c r="G26" s="142"/>
      <c r="H26" s="142"/>
      <c r="I26" s="142"/>
      <c r="J26">
        <f>HLOOKUP($B$12,matrixen!$W$14:$AH$465,16,FALSE)</f>
        <v>0</v>
      </c>
      <c r="AA26" s="106" t="str">
        <f>matrixen!B27</f>
        <v>Champagne</v>
      </c>
    </row>
    <row r="27" spans="2:27" x14ac:dyDescent="0.25">
      <c r="B27" s="17"/>
      <c r="F27" s="142"/>
      <c r="G27" s="142"/>
      <c r="H27" s="142"/>
      <c r="I27" s="142"/>
      <c r="J27">
        <f>HLOOKUP($B$12,matrixen!$W$14:$AH$465,17,FALSE)</f>
        <v>0</v>
      </c>
      <c r="AA27" s="106">
        <f>matrixen!B28</f>
        <v>0</v>
      </c>
    </row>
    <row r="28" spans="2:27" x14ac:dyDescent="0.25">
      <c r="B28" s="17"/>
      <c r="J28">
        <f>HLOOKUP($B$12,matrixen!$W$14:$AH$465,18,FALSE)</f>
        <v>0</v>
      </c>
      <c r="AA28" s="106"/>
    </row>
    <row r="29" spans="2:27" x14ac:dyDescent="0.25">
      <c r="D29" s="20">
        <f>IF(F31&lt;&gt;"",1/0,0)</f>
        <v>0</v>
      </c>
      <c r="F29" s="1" t="s">
        <v>404</v>
      </c>
      <c r="J29">
        <f>HLOOKUP($B$12,matrixen!$W$14:$AH$465,19,FALSE)</f>
        <v>0</v>
      </c>
      <c r="AA29" s="106" t="str">
        <f>matrixen!D58</f>
        <v>Maak hier uw keuze</v>
      </c>
    </row>
    <row r="30" spans="2:27" ht="15" customHeight="1" x14ac:dyDescent="0.25">
      <c r="D30">
        <f>VLOOKUP(F30,dessertprijs,6,FALSE)</f>
        <v>0</v>
      </c>
      <c r="F30" s="142" t="s">
        <v>387</v>
      </c>
      <c r="G30" s="142"/>
      <c r="H30" s="142"/>
      <c r="J30">
        <f>HLOOKUP($B$12,matrixen!$W$14:$AH$465,20,FALSE)</f>
        <v>0</v>
      </c>
      <c r="AA30" s="106" t="str">
        <f>matrixen!D59</f>
        <v>parmaham</v>
      </c>
    </row>
    <row r="31" spans="2:27" ht="15" customHeight="1" x14ac:dyDescent="0.25">
      <c r="B31" s="136" t="str">
        <f>IF(B12=matrixen!B15,"Selecteer hieronder: Forfait voor drank naar believen. Dit is reeds inbegrepen en wijzigt de prijs niet meer.","Betaling drank na de receptie:")</f>
        <v>Betaling drank na de receptie:</v>
      </c>
      <c r="F31" s="141" t="str">
        <f xml:space="preserve"> IF(B39="ja",IF(COUNTA(F23:F27)+COUNTA(B25:B28)&gt;7,"U selecteerde teveel hapjes en kunt de desserthapjes niet vervangen! Selecteer in het gele vak hierboven maximaal 7 hapjes! Of kies de optie 'extra warm gerecht kiezen'",""),"")</f>
        <v/>
      </c>
      <c r="J31">
        <f>HLOOKUP($B$12,matrixen!$W$14:$AH$465,21,FALSE)</f>
        <v>0</v>
      </c>
      <c r="AA31" s="106" t="str">
        <f>matrixen!D60</f>
        <v>grijze garnalen</v>
      </c>
    </row>
    <row r="32" spans="2:27" x14ac:dyDescent="0.25">
      <c r="B32" s="136"/>
      <c r="D32"/>
      <c r="F32" s="141"/>
      <c r="J32">
        <f>HLOOKUP($B$12,matrixen!$W$14:$AH$465,22,FALSE)</f>
        <v>0</v>
      </c>
      <c r="AA32" s="106" t="str">
        <f>matrixen!D61</f>
        <v>gerookte zalm</v>
      </c>
    </row>
    <row r="33" spans="2:27" x14ac:dyDescent="0.25">
      <c r="B33" s="37" t="s">
        <v>132</v>
      </c>
      <c r="D33">
        <f>IF(B12=matrixen!B15,matrixen!P93,VLOOKUP(B33,matrixen!A91:P93,15,FALSE))</f>
        <v>0</v>
      </c>
      <c r="E33" s="35" t="str">
        <f>VLOOKUP(B33,matrixen!A91:P93,16,FALSE)</f>
        <v>één rekening</v>
      </c>
      <c r="F33" s="141"/>
      <c r="J33">
        <f>HLOOKUP($B$12,matrixen!$W$14:$AH$465,23,FALSE)</f>
        <v>0</v>
      </c>
      <c r="AA33" s="106" t="str">
        <f>matrixen!D62</f>
        <v>zalmsalade</v>
      </c>
    </row>
    <row r="34" spans="2:27" ht="15" customHeight="1" x14ac:dyDescent="0.25">
      <c r="B34" s="35" t="s">
        <v>132</v>
      </c>
      <c r="D34"/>
      <c r="F34" s="141"/>
      <c r="J34">
        <f>HLOOKUP($B$12,matrixen!$W$14:$AH$465,24,FALSE)</f>
        <v>0</v>
      </c>
      <c r="AA34" s="106" t="str">
        <f>matrixen!D63</f>
        <v>gerookte ham</v>
      </c>
    </row>
    <row r="35" spans="2:27" x14ac:dyDescent="0.25">
      <c r="B35" s="1" t="s">
        <v>347</v>
      </c>
      <c r="D35"/>
      <c r="F35" s="141"/>
      <c r="J35">
        <f>HLOOKUP($B$12,matrixen!$W$14:$AH$465,25,FALSE)</f>
        <v>0</v>
      </c>
      <c r="AA35" s="106" t="str">
        <f>matrixen!D64</f>
        <v>vissla</v>
      </c>
    </row>
    <row r="36" spans="2:27" x14ac:dyDescent="0.25">
      <c r="B36" s="48">
        <v>0</v>
      </c>
      <c r="D36" s="2">
        <f>IF(B12=matrixen!B14,B36*matrixen!I53/2,B36*matrixen!I53)</f>
        <v>0</v>
      </c>
      <c r="F36" s="141"/>
      <c r="J36">
        <f>HLOOKUP($B$12,matrixen!$W$14:$AH$465,26,FALSE)</f>
        <v>0</v>
      </c>
      <c r="AA36" s="106" t="str">
        <f>matrixen!D65</f>
        <v>kaas</v>
      </c>
    </row>
    <row r="37" spans="2:27" x14ac:dyDescent="0.25">
      <c r="B37">
        <v>0</v>
      </c>
      <c r="F37" s="141"/>
      <c r="J37">
        <f>HLOOKUP($B$12,matrixen!$W$14:$AH$465,27,FALSE)</f>
        <v>0</v>
      </c>
      <c r="AA37" s="106" t="str">
        <f>matrixen!D66</f>
        <v>gekookte ham</v>
      </c>
    </row>
    <row r="38" spans="2:27" ht="15" customHeight="1" x14ac:dyDescent="0.25">
      <c r="B38" s="1" t="str">
        <f>IF(OR(B12=matrixen!L14,B12=matrixen!B18),"Wilt u 2 hapjes vervangen door één of meerdere warme gerechten?","")</f>
        <v/>
      </c>
      <c r="F38" s="141"/>
      <c r="J38">
        <f>HLOOKUP($B$12,matrixen!$W$14:$AH$465,28,FALSE)</f>
        <v>0</v>
      </c>
      <c r="AA38" s="106" t="str">
        <f>matrixen!D67</f>
        <v>américain préparé</v>
      </c>
    </row>
    <row r="39" spans="2:27" x14ac:dyDescent="0.25">
      <c r="B39" s="71" t="s">
        <v>131</v>
      </c>
      <c r="F39" s="141"/>
      <c r="J39">
        <f>HLOOKUP($B$12,matrixen!$W$14:$AH$465,29,FALSE)</f>
        <v>0</v>
      </c>
      <c r="AA39" s="106" t="str">
        <f>matrixen!D68</f>
        <v>krabsla</v>
      </c>
    </row>
    <row r="40" spans="2:27" x14ac:dyDescent="0.25">
      <c r="B40" s="1" t="s">
        <v>268</v>
      </c>
      <c r="F40" s="141"/>
      <c r="J40">
        <f>HLOOKUP($B$12,matrixen!$W$14:$AH$465,30,FALSE)</f>
        <v>0</v>
      </c>
      <c r="AA40" s="106" t="str">
        <f>matrixen!D69</f>
        <v>kipsla</v>
      </c>
    </row>
    <row r="41" spans="2:27" x14ac:dyDescent="0.25">
      <c r="B41" s="101"/>
      <c r="C41" s="2"/>
      <c r="D41" s="2">
        <f>IF(F31="",IF(B39="ja",IF((D43+D45+E47+D47)&gt;0,matrixen!N72*(-1),0),0),0)</f>
        <v>0</v>
      </c>
      <c r="F41" s="141"/>
      <c r="H41">
        <f>HLOOKUP($B$12,matrixen!$W$14:$AH$465,31,FALSE)</f>
        <v>0</v>
      </c>
      <c r="AA41" s="106"/>
    </row>
    <row r="42" spans="2:27" ht="15.75" x14ac:dyDescent="0.25">
      <c r="B42" s="1" t="s">
        <v>269</v>
      </c>
      <c r="C42" s="2"/>
      <c r="F42" s="2" t="s">
        <v>138</v>
      </c>
      <c r="G42" s="17" t="s">
        <v>131</v>
      </c>
      <c r="H42" s="2" t="s">
        <v>139</v>
      </c>
      <c r="I42" s="17" t="s">
        <v>131</v>
      </c>
      <c r="J42" s="2" t="s">
        <v>140</v>
      </c>
      <c r="K42" s="17" t="s">
        <v>131</v>
      </c>
      <c r="AA42" s="108" t="str">
        <f>matrixen!A91</f>
        <v>Alle drank na de receptie komt op één rekening en wordt door de organisator van het feest betaald</v>
      </c>
    </row>
    <row r="43" spans="2:27" ht="15.75" x14ac:dyDescent="0.25">
      <c r="B43" s="131"/>
      <c r="C43" s="2"/>
      <c r="D43" s="2">
        <f>IFERROR(VLOOKUP(B41,matrixen!$L$75:$N$89,3,FALSE),0)</f>
        <v>0</v>
      </c>
      <c r="F43" s="2"/>
      <c r="H43" s="2"/>
      <c r="K43" s="2"/>
      <c r="AA43" s="108" t="str">
        <f>matrixen!A92</f>
        <v>Elke gast die na de receptie een drankje bestelt rekent direct af aan de bar</v>
      </c>
    </row>
    <row r="44" spans="2:27" ht="15.75" x14ac:dyDescent="0.25">
      <c r="B44" s="1" t="s">
        <v>270</v>
      </c>
      <c r="F44" s="2" t="s">
        <v>141</v>
      </c>
      <c r="G44" s="17" t="s">
        <v>131</v>
      </c>
      <c r="H44" s="2" t="s">
        <v>248</v>
      </c>
      <c r="I44" s="17" t="s">
        <v>131</v>
      </c>
      <c r="J44" t="str">
        <f>IF($I$44="ja",matrixen!A97,"")</f>
        <v/>
      </c>
      <c r="AA44" s="108" t="str">
        <f>matrixen!A93</f>
        <v xml:space="preserve">Forfait voor drank naar believen (alle bieren en frisdranken van de drankkaart in de zaal) na een receptie pp: </v>
      </c>
    </row>
    <row r="45" spans="2:27" x14ac:dyDescent="0.25">
      <c r="B45" s="131"/>
      <c r="D45" s="2">
        <f>IFERROR(VLOOKUP(B43,matrixen!$L$75:$N$89,3,FALSE),0)</f>
        <v>0</v>
      </c>
      <c r="F45" s="39" t="str">
        <f>IF(G44="ja",matrixen!A101,"")</f>
        <v/>
      </c>
      <c r="H45" s="2"/>
      <c r="J45" t="str">
        <f>IF($I$44="ja",matrixen!A98,"")</f>
        <v/>
      </c>
      <c r="AA45" s="106"/>
    </row>
    <row r="46" spans="2:27" x14ac:dyDescent="0.25">
      <c r="B46" s="1" t="str">
        <f>"Wenst u exclusiviteit voor het volledige domein mits meerprijs van € "&amp;matrixen!F222 &amp; " ?"</f>
        <v>Wenst u exclusiviteit voor het volledige domein mits meerprijs van € 750 ?</v>
      </c>
      <c r="G46" s="2" t="s">
        <v>471</v>
      </c>
      <c r="H46" s="17" t="s">
        <v>447</v>
      </c>
      <c r="AA46" s="106" t="str">
        <f>matrixen!A119</f>
        <v>ja</v>
      </c>
    </row>
    <row r="47" spans="2:27" ht="15.75" customHeight="1" thickBot="1" x14ac:dyDescent="0.3">
      <c r="B47" s="111" t="s">
        <v>131</v>
      </c>
      <c r="D47" s="2">
        <f>IFERROR(VLOOKUP(B45,matrixen!$L$75:$N$89,3,FALSE),0)</f>
        <v>0</v>
      </c>
      <c r="E47" s="2">
        <f>IF(B47="ja",matrixen!F222,0)</f>
        <v>0</v>
      </c>
      <c r="AA47" s="106" t="str">
        <f>matrixen!A120</f>
        <v>nee</v>
      </c>
    </row>
    <row r="48" spans="2:27" ht="26.25" x14ac:dyDescent="0.4">
      <c r="E48" s="2" t="s">
        <v>442</v>
      </c>
      <c r="F48" s="19"/>
      <c r="H48" s="22" t="s">
        <v>136</v>
      </c>
      <c r="I48" s="23"/>
      <c r="J48" s="23"/>
      <c r="K48" s="23"/>
      <c r="L48" s="49" t="str">
        <f>IF(B36&gt;1,B36 &amp; " extra uren drank",IF(B36=1,"1 extra uur drank",""))</f>
        <v/>
      </c>
      <c r="Z48" s="36"/>
      <c r="AA48" s="36" t="str">
        <f>IF($B$12=matrixen!$B$14,"ja","")</f>
        <v/>
      </c>
    </row>
    <row r="49" spans="2:33" ht="36" customHeight="1" x14ac:dyDescent="0.25">
      <c r="E49" s="2"/>
      <c r="F49" s="2" t="s">
        <v>135</v>
      </c>
      <c r="H49" s="138">
        <f>IF(L49&gt;0,B12,0)</f>
        <v>0</v>
      </c>
      <c r="I49" s="139"/>
      <c r="J49" s="139"/>
      <c r="K49" s="139"/>
      <c r="L49" s="26">
        <f>D12</f>
        <v>0</v>
      </c>
      <c r="Z49" s="36"/>
      <c r="AA49" s="36" t="str">
        <f>IF($B$12=matrixen!$B$14,"nee","")</f>
        <v/>
      </c>
    </row>
    <row r="50" spans="2:33" x14ac:dyDescent="0.25">
      <c r="E50" s="2" t="s">
        <v>110</v>
      </c>
      <c r="F50" s="17"/>
      <c r="H50" s="28" t="str">
        <f>IF(L50&gt;0,B21,"")</f>
        <v/>
      </c>
      <c r="I50" s="29" t="str">
        <f>IF(L50&gt;0,"geldt alleen bij recepties!!!","")</f>
        <v/>
      </c>
      <c r="J50" s="29"/>
      <c r="K50" s="29"/>
      <c r="L50" s="30">
        <f>D21</f>
        <v>0</v>
      </c>
      <c r="Z50" s="36"/>
    </row>
    <row r="51" spans="2:33" x14ac:dyDescent="0.25">
      <c r="E51" s="18" t="s">
        <v>113</v>
      </c>
      <c r="F51" s="17"/>
      <c r="H51" s="24"/>
      <c r="I51" s="25"/>
      <c r="J51" s="25"/>
      <c r="K51" s="25"/>
      <c r="L51" s="26"/>
    </row>
    <row r="52" spans="2:33" x14ac:dyDescent="0.25">
      <c r="E52" s="18" t="s">
        <v>112</v>
      </c>
      <c r="F52" s="17"/>
      <c r="H52" s="24"/>
      <c r="I52" s="25"/>
      <c r="J52" s="25"/>
      <c r="K52" s="25"/>
      <c r="L52" s="27"/>
      <c r="AA52" s="35" t="str">
        <f>matrixen!A381</f>
        <v>Betaling op de dag zelf (cash of bancontact), u bekomt 2% korting op het totaal</v>
      </c>
    </row>
    <row r="53" spans="2:33" x14ac:dyDescent="0.25">
      <c r="E53" s="18" t="s">
        <v>111</v>
      </c>
      <c r="F53" s="17"/>
      <c r="G53" s="3"/>
      <c r="H53" s="24"/>
      <c r="I53" s="25"/>
      <c r="J53" s="25"/>
      <c r="K53" s="25"/>
      <c r="L53" s="27"/>
      <c r="AA53" s="35" t="str">
        <f>matrixen!A382</f>
        <v>Storting op BE 48 4631 1391 2127 min. 7 dagen voor het feest, 2% korting</v>
      </c>
    </row>
    <row r="54" spans="2:33" x14ac:dyDescent="0.25">
      <c r="B54" s="99"/>
      <c r="G54" s="3"/>
      <c r="H54" s="24"/>
      <c r="I54" s="25"/>
      <c r="J54" s="25"/>
      <c r="K54" s="25"/>
      <c r="L54" s="27"/>
      <c r="AA54" s="35" t="str">
        <f>matrixen!A383</f>
        <v>Betaling na het feest. Gelieve 40 % voorschot te storten op BE48 4631 1391 2127. Geen korting.</v>
      </c>
    </row>
    <row r="55" spans="2:33" x14ac:dyDescent="0.25">
      <c r="B55" s="99"/>
      <c r="E55" s="18" t="s">
        <v>143</v>
      </c>
      <c r="F55" s="17"/>
      <c r="H55" s="24"/>
      <c r="I55" s="25"/>
      <c r="J55" s="25"/>
      <c r="K55" s="25"/>
      <c r="L55" s="27"/>
    </row>
    <row r="56" spans="2:33" x14ac:dyDescent="0.25">
      <c r="B56" s="1" t="s">
        <v>412</v>
      </c>
      <c r="E56" s="18" t="s">
        <v>144</v>
      </c>
      <c r="F56" s="17"/>
      <c r="H56" s="28"/>
      <c r="I56" s="29"/>
      <c r="J56" s="29"/>
      <c r="K56" s="29"/>
      <c r="L56" s="34"/>
      <c r="AA56" s="35">
        <f>matrixen!L75</f>
        <v>0</v>
      </c>
    </row>
    <row r="57" spans="2:33" x14ac:dyDescent="0.25">
      <c r="B57" s="131"/>
      <c r="C57">
        <f>IFERROR(VLOOKUP(B57,matrixen!$A$301:$E$305,5,FALSE),0)</f>
        <v>0</v>
      </c>
      <c r="H57" s="28"/>
      <c r="I57" s="29"/>
      <c r="J57" s="29"/>
      <c r="K57" s="29"/>
      <c r="L57" s="34"/>
      <c r="AB57" s="115"/>
      <c r="AC57" s="115" t="str">
        <f>matrixen!L76</f>
        <v>Een frikandel</v>
      </c>
      <c r="AD57" s="115"/>
      <c r="AE57" s="115"/>
      <c r="AF57" s="114"/>
      <c r="AG57" s="114"/>
    </row>
    <row r="58" spans="2:33" ht="15.75" thickBot="1" x14ac:dyDescent="0.3">
      <c r="B58" s="131"/>
      <c r="C58">
        <f>IFERROR(VLOOKUP(B58,matrixen!$A$301:$E$305,5,FALSE),0)</f>
        <v>0</v>
      </c>
      <c r="E58" s="18" t="s">
        <v>145</v>
      </c>
      <c r="F58" s="17"/>
      <c r="H58" s="31" t="s">
        <v>137</v>
      </c>
      <c r="I58" s="32"/>
      <c r="J58" s="32"/>
      <c r="K58" s="32"/>
      <c r="L58" s="33" t="str">
        <f>E33</f>
        <v>één rekening</v>
      </c>
      <c r="AB58" s="115"/>
      <c r="AC58" s="115" t="str">
        <f>matrixen!L77</f>
        <v>Een zakje friet</v>
      </c>
      <c r="AD58" s="115"/>
      <c r="AE58" s="115"/>
      <c r="AF58" s="114"/>
      <c r="AG58" s="114"/>
    </row>
    <row r="59" spans="2:33" x14ac:dyDescent="0.25">
      <c r="B59" s="131"/>
      <c r="C59">
        <f>IFERROR(VLOOKUP(B59,matrixen!$A$301:$E$305,5,FALSE),0)</f>
        <v>0</v>
      </c>
      <c r="E59" s="18" t="s">
        <v>146</v>
      </c>
      <c r="F59" s="17"/>
      <c r="M59" s="2"/>
      <c r="N59" s="2"/>
      <c r="O59" s="2"/>
      <c r="P59" s="2"/>
      <c r="Q59" s="2"/>
      <c r="R59" s="2"/>
      <c r="S59" s="2"/>
      <c r="T59" s="2"/>
      <c r="U59" s="2"/>
      <c r="V59" s="2"/>
      <c r="W59" s="2"/>
      <c r="X59" s="2"/>
      <c r="Y59" s="2"/>
      <c r="AB59" s="115"/>
      <c r="AC59" s="115" t="str">
        <f>matrixen!L78</f>
        <v>Een BBQ worst</v>
      </c>
      <c r="AD59" s="115"/>
      <c r="AE59" s="115"/>
      <c r="AF59" s="114"/>
      <c r="AG59" s="114"/>
    </row>
    <row r="60" spans="2:33" x14ac:dyDescent="0.25">
      <c r="B60" s="1" t="s">
        <v>413</v>
      </c>
      <c r="D60"/>
      <c r="E60" s="18" t="s">
        <v>147</v>
      </c>
      <c r="F60" s="17"/>
      <c r="M60" s="2"/>
      <c r="N60" s="2"/>
      <c r="O60" s="2"/>
      <c r="P60" s="2"/>
      <c r="Q60" s="2"/>
      <c r="R60" s="2"/>
      <c r="S60" s="2"/>
      <c r="T60" s="2"/>
      <c r="U60" s="2"/>
      <c r="V60" s="2"/>
      <c r="W60" s="2"/>
      <c r="X60" s="2"/>
      <c r="Y60" s="2"/>
      <c r="AB60" s="115"/>
      <c r="AC60" s="115" t="str">
        <f>matrixen!L79</f>
        <v>Een ovenkoek met reuze Angus burger</v>
      </c>
      <c r="AD60" s="115"/>
      <c r="AE60" s="115"/>
      <c r="AF60" s="114"/>
      <c r="AG60" s="114"/>
    </row>
    <row r="61" spans="2:33" x14ac:dyDescent="0.25">
      <c r="B61" t="str">
        <f>matrixen!A301 &amp; " aan " &amp; matrixen!E301 &amp; " euro"</f>
        <v>Croque uit het vuistje aan 2,8 euro</v>
      </c>
      <c r="D61"/>
      <c r="E61" s="18" t="s">
        <v>148</v>
      </c>
      <c r="F61" s="17"/>
      <c r="AB61" s="115"/>
      <c r="AC61" s="115" t="str">
        <f>matrixen!L80</f>
        <v>Duo van Groenlandse heilbot en scampi's met een snuifje saffraan</v>
      </c>
      <c r="AD61" s="115"/>
      <c r="AE61" s="115"/>
      <c r="AF61" s="114"/>
      <c r="AG61" s="114"/>
    </row>
    <row r="62" spans="2:33" x14ac:dyDescent="0.25">
      <c r="B62" t="str">
        <f>matrixen!A302 &amp; " aan " &amp; matrixen!E302 &amp; " euro"</f>
        <v>Pizza Margherita aan 4,5 euro</v>
      </c>
      <c r="E62" s="18" t="s">
        <v>266</v>
      </c>
      <c r="F62" s="17"/>
      <c r="H62" s="1" t="s">
        <v>142</v>
      </c>
      <c r="K62" s="17" t="s">
        <v>130</v>
      </c>
      <c r="AB62" s="115"/>
      <c r="AC62" s="115" t="str">
        <f>matrixen!L81</f>
        <v>Bladerdeeggebakje gevuld met kip</v>
      </c>
      <c r="AD62" s="115"/>
      <c r="AE62" s="115"/>
      <c r="AF62" s="114"/>
      <c r="AG62" s="114"/>
    </row>
    <row r="63" spans="2:33" x14ac:dyDescent="0.25">
      <c r="E63" s="18" t="s">
        <v>175</v>
      </c>
      <c r="F63" s="17"/>
      <c r="AB63" s="115"/>
      <c r="AC63" s="115" t="str">
        <f>matrixen!L82</f>
        <v>Victoriabaarsfilet in preiroomsaus</v>
      </c>
      <c r="AD63" s="115"/>
      <c r="AE63" s="115"/>
      <c r="AF63" s="114"/>
      <c r="AG63" s="114"/>
    </row>
    <row r="64" spans="2:33" x14ac:dyDescent="0.25">
      <c r="B64" t="str">
        <f>matrixen!A303 &amp; " aan " &amp; matrixen!E303 &amp; " euro"</f>
        <v>Belegde broodjes (2 pp) aan 4,5 euro</v>
      </c>
      <c r="C64" t="s">
        <v>176</v>
      </c>
      <c r="J64" s="46" t="s">
        <v>190</v>
      </c>
      <c r="K64" s="140" t="s">
        <v>326</v>
      </c>
      <c r="L64" s="140"/>
      <c r="M64" s="140"/>
      <c r="N64" s="140"/>
      <c r="O64" s="140"/>
      <c r="P64" s="140"/>
      <c r="Q64" s="140"/>
      <c r="R64" s="140"/>
      <c r="S64" s="140"/>
      <c r="T64" s="140"/>
      <c r="U64" s="140"/>
      <c r="V64" s="140"/>
      <c r="AB64" s="115"/>
      <c r="AC64" s="115" t="str">
        <f>matrixen!L83</f>
        <v>Witte zalmfilet in gekruide roomsaus of in kreeftenroomsaus</v>
      </c>
      <c r="AD64" s="115"/>
      <c r="AE64" s="115"/>
      <c r="AF64" s="114"/>
      <c r="AG64" s="114"/>
    </row>
    <row r="65" spans="2:33" x14ac:dyDescent="0.25">
      <c r="B65" t="str">
        <f>matrixen!A304 &amp; " aan " &amp; matrixen!E304 &amp; " euro"</f>
        <v>Braadworst aan 3 euro</v>
      </c>
      <c r="E65" s="18" t="s">
        <v>182</v>
      </c>
      <c r="F65" s="17"/>
      <c r="AB65" s="115"/>
      <c r="AC65" s="115" t="str">
        <f>matrixen!L84</f>
        <v>Gepocheerde verse roze zalm met bieslooksaus</v>
      </c>
      <c r="AD65" s="115"/>
      <c r="AE65" s="115"/>
      <c r="AF65" s="114"/>
      <c r="AG65" s="114"/>
    </row>
    <row r="66" spans="2:33" x14ac:dyDescent="0.25">
      <c r="B66" t="str">
        <f>matrixen!A305 &amp; " aan " &amp; matrixen!E305 &amp; " euro"</f>
        <v>Scampi (3pp) Nantua met farfale en broccoli aan 4,5 euro</v>
      </c>
      <c r="E66" s="18" t="s">
        <v>183</v>
      </c>
      <c r="F66" s="17"/>
      <c r="J66" s="46" t="s">
        <v>201</v>
      </c>
      <c r="K66" s="17" t="s">
        <v>131</v>
      </c>
      <c r="AA66" s="115"/>
      <c r="AB66" s="115"/>
      <c r="AC66" s="115" t="str">
        <f>matrixen!L85</f>
        <v>Groenlandse heilbotfilet in kreeftenroomsaus en een rivierkreeftje</v>
      </c>
      <c r="AD66" s="115"/>
      <c r="AE66" s="115"/>
      <c r="AF66" s="114"/>
      <c r="AG66" s="114"/>
    </row>
    <row r="67" spans="2:33" ht="15.75" thickBot="1" x14ac:dyDescent="0.3">
      <c r="K67" s="9" t="str">
        <f>IF(K66="ja","Gelieve uw facturatiegegevens bij opmerkingen in te vullen.","")</f>
        <v/>
      </c>
      <c r="AC67" s="115" t="str">
        <f>matrixen!L86</f>
        <v>Met zalm gevulde tongfilets in gekruide roomsaus</v>
      </c>
    </row>
    <row r="68" spans="2:33" ht="15.75" thickBot="1" x14ac:dyDescent="0.3">
      <c r="E68" s="40" t="s">
        <v>169</v>
      </c>
      <c r="F68" s="41">
        <f>Reservatievoorstel!I14</f>
        <v>0</v>
      </c>
      <c r="AC68" s="115" t="str">
        <f>matrixen!L87</f>
        <v>Duo van Groenlandse heilbot en St. Jacobsvruchten</v>
      </c>
    </row>
    <row r="69" spans="2:33" x14ac:dyDescent="0.25">
      <c r="F69" s="2" t="s">
        <v>170</v>
      </c>
      <c r="AA69" s="35" t="str">
        <f>matrixen!X50</f>
        <v>BORD</v>
      </c>
      <c r="AC69" s="115" t="str">
        <f>matrixen!L88</f>
        <v>Bladerdeeggebakje gevuld met kip en kalfszwezeriken</v>
      </c>
    </row>
    <row r="70" spans="2:33" ht="15.75" thickBot="1" x14ac:dyDescent="0.3">
      <c r="AA70" s="35" t="str">
        <f>matrixen!X51</f>
        <v>Bord met rauwe groenten en cocktailsaus (wortel, bloemkool, radijs)</v>
      </c>
      <c r="AC70" s="115" t="str">
        <f>matrixen!L89</f>
        <v>Rolletje van zalm en tong, noordzeegarnalen en een langoustine</v>
      </c>
    </row>
    <row r="71" spans="2:33" ht="15.75" thickBot="1" x14ac:dyDescent="0.3">
      <c r="E71" s="18" t="s">
        <v>177</v>
      </c>
      <c r="F71" s="41">
        <f>F68*0.02</f>
        <v>0</v>
      </c>
      <c r="AA71" s="35" t="str">
        <f>matrixen!X52</f>
        <v>Bord met olijven, kaasjes en salamietjes</v>
      </c>
    </row>
    <row r="72" spans="2:33" ht="15.75" thickBot="1" x14ac:dyDescent="0.3">
      <c r="E72" s="18" t="s">
        <v>178</v>
      </c>
      <c r="F72" s="41">
        <f>F68-F71</f>
        <v>0</v>
      </c>
      <c r="AA72" s="35" t="str">
        <f>matrixen!X53</f>
        <v>Bord met 3 tapenades (tonijn / pesto spread rosso /zoete peper roomkaas)</v>
      </c>
    </row>
    <row r="73" spans="2:33" x14ac:dyDescent="0.25">
      <c r="AA73" s="35" t="str">
        <f>matrixen!X54</f>
        <v>KOUD</v>
      </c>
    </row>
    <row r="74" spans="2:33" x14ac:dyDescent="0.25">
      <c r="AA74" s="35" t="str">
        <f>matrixen!X55</f>
        <v>crunchy sushi</v>
      </c>
    </row>
    <row r="75" spans="2:33" x14ac:dyDescent="0.25">
      <c r="AA75" s="35" t="str">
        <f>matrixen!X56</f>
        <v>luzerne met gerookte zalm, eitjes van vliegende vis in wasabi</v>
      </c>
    </row>
    <row r="76" spans="2:33" ht="26.25" x14ac:dyDescent="0.4">
      <c r="L76" s="38" t="s">
        <v>115</v>
      </c>
      <c r="AA76" s="35" t="str">
        <f>matrixen!X57</f>
        <v>preischeuten met tijgergarnalen en mini tomaat</v>
      </c>
    </row>
    <row r="77" spans="2:33" ht="26.25" x14ac:dyDescent="0.4">
      <c r="L77" s="38" t="s">
        <v>109</v>
      </c>
      <c r="AA77" s="35" t="str">
        <f>matrixen!X58</f>
        <v>aperoglaasje parmaham met meloenbolletjes</v>
      </c>
    </row>
    <row r="78" spans="2:33" ht="26.25" x14ac:dyDescent="0.4">
      <c r="L78" s="38" t="s">
        <v>187</v>
      </c>
      <c r="AA78" s="35" t="str">
        <f>matrixen!X59</f>
        <v>ganache van foie gras met frambozenconfituur en amandelbrood</v>
      </c>
    </row>
    <row r="79" spans="2:33" x14ac:dyDescent="0.25">
      <c r="AA79" s="35" t="str">
        <f>matrixen!X60</f>
        <v>aperoglaasje parmaham met espuma van mango</v>
      </c>
    </row>
    <row r="80" spans="2:33" x14ac:dyDescent="0.25">
      <c r="B80" s="1" t="str">
        <f>IF(OR($B$12=matrixen!$B$15,$B$12=matrixen!$B$18),"In de partyformule/receptie alle doelen kunt u een of meerdere extra voorgerechten nemen.","")</f>
        <v/>
      </c>
      <c r="AA80" s="35" t="str">
        <f>matrixen!X61</f>
        <v>verse oester</v>
      </c>
    </row>
    <row r="81" spans="2:27" x14ac:dyDescent="0.25">
      <c r="B81" s="113"/>
      <c r="D81" s="2">
        <f>IFERROR(VLOOKUP(B81,matrixen!$P$76:$Q$82,2,FALSE),0)</f>
        <v>0</v>
      </c>
      <c r="AA81" s="35" t="str">
        <f>matrixen!X62</f>
        <v>Taboulé met gerookte forel</v>
      </c>
    </row>
    <row r="82" spans="2:27" x14ac:dyDescent="0.25">
      <c r="B82" s="1" t="str">
        <f>IF(OR($B$12=matrixen!$B$15,$B$12=matrixen!$B$18),"In de partyformule/receptie alle doelen kunt u een of meerdere extra voorgerechten nemen.","")</f>
        <v/>
      </c>
      <c r="AA82" s="35" t="str">
        <f>matrixen!X63</f>
        <v>Haringhapje met curry</v>
      </c>
    </row>
    <row r="83" spans="2:27" x14ac:dyDescent="0.25">
      <c r="B83" s="113"/>
      <c r="D83" s="2">
        <f>IFERROR(VLOOKUP(B83,matrixen!$P$76:$Q$82,2,FALSE),0)</f>
        <v>0</v>
      </c>
      <c r="AA83" s="35" t="str">
        <f>matrixen!X64</f>
        <v>Mini bagel met zalm en kruidenkaas</v>
      </c>
    </row>
    <row r="84" spans="2:27" x14ac:dyDescent="0.25">
      <c r="B84" s="1" t="str">
        <f>IF(OR($B$12=matrixen!$B$15,$B$12=matrixen!$B$18),"In de partyformule/receptie alle doelen kunt u een of meerdere extra voorgerechten nemen.","")</f>
        <v/>
      </c>
      <c r="AA84" s="35" t="str">
        <f>matrixen!X65</f>
        <v>SOEP</v>
      </c>
    </row>
    <row r="85" spans="2:27" x14ac:dyDescent="0.25">
      <c r="B85" s="113"/>
      <c r="D85" s="2">
        <f>IFERROR(VLOOKUP(B85,matrixen!$P$76:$Q$82,2,FALSE),0)</f>
        <v>0</v>
      </c>
      <c r="AA85" s="35" t="str">
        <f>matrixen!X66</f>
        <v>Kreeftensoep</v>
      </c>
    </row>
    <row r="86" spans="2:27" x14ac:dyDescent="0.25">
      <c r="AA86" s="35" t="str">
        <f>matrixen!X67</f>
        <v>Aspergeroomsoep met koornbloemblaadjes</v>
      </c>
    </row>
    <row r="87" spans="2:27" x14ac:dyDescent="0.25">
      <c r="AA87" s="35" t="str">
        <f>matrixen!X68</f>
        <v>Pompoensoep (sept. okt. nov.)</v>
      </c>
    </row>
    <row r="88" spans="2:27" x14ac:dyDescent="0.25">
      <c r="AA88" s="35" t="str">
        <f>matrixen!X69</f>
        <v>Kervelroomsoep met gerookte eend</v>
      </c>
    </row>
    <row r="89" spans="2:27" x14ac:dyDescent="0.25">
      <c r="AA89" s="35" t="str">
        <f>matrixen!X70</f>
        <v>Preiroomsoep met broccoligarnituur en gebakken spekjes</v>
      </c>
    </row>
    <row r="90" spans="2:27" x14ac:dyDescent="0.25">
      <c r="AA90" s="35" t="str">
        <f>matrixen!X71</f>
        <v>Soepje van boschampignons met gerookte paling</v>
      </c>
    </row>
    <row r="91" spans="2:27" x14ac:dyDescent="0.25">
      <c r="AA91" s="35" t="str">
        <f>matrixen!X72</f>
        <v>WARM</v>
      </c>
    </row>
    <row r="92" spans="2:27" x14ac:dyDescent="0.25">
      <c r="AA92" s="35" t="str">
        <f>matrixen!X73</f>
        <v>mini hot-dog</v>
      </c>
    </row>
    <row r="93" spans="2:27" x14ac:dyDescent="0.25">
      <c r="AA93" s="35" t="str">
        <f>matrixen!X74</f>
        <v>Breydelspek met mosterdroomsaus</v>
      </c>
    </row>
    <row r="94" spans="2:27" x14ac:dyDescent="0.25">
      <c r="AA94" s="35" t="str">
        <f>matrixen!X75</f>
        <v>aperoglaasje scampi</v>
      </c>
    </row>
    <row r="95" spans="2:27" x14ac:dyDescent="0.25">
      <c r="AA95" s="35" t="str">
        <f>matrixen!X76</f>
        <v>Warme dagvis met curry</v>
      </c>
    </row>
    <row r="96" spans="2:27" x14ac:dyDescent="0.25">
      <c r="AA96" s="35" t="str">
        <f>matrixen!X77</f>
        <v>een gevuld toastcupje</v>
      </c>
    </row>
    <row r="97" spans="27:27" x14ac:dyDescent="0.25">
      <c r="AA97" s="35" t="str">
        <f>matrixen!X78</f>
        <v xml:space="preserve">oester met champagnesaus </v>
      </c>
    </row>
    <row r="98" spans="27:27" x14ac:dyDescent="0.25">
      <c r="AA98" s="35" t="str">
        <f>matrixen!X79</f>
        <v>garnaal in filo</v>
      </c>
    </row>
    <row r="99" spans="27:27" x14ac:dyDescent="0.25">
      <c r="AA99" s="35" t="str">
        <f>matrixen!X80</f>
        <v>mini croque</v>
      </c>
    </row>
    <row r="100" spans="27:27" x14ac:dyDescent="0.25">
      <c r="AA100" s="35" t="str">
        <f>matrixen!X81</f>
        <v>mini loempia</v>
      </c>
    </row>
    <row r="101" spans="27:27" x14ac:dyDescent="0.25">
      <c r="AA101" s="35" t="str">
        <f>matrixen!X82</f>
        <v>mini kippenboutje</v>
      </c>
    </row>
    <row r="102" spans="27:27" x14ac:dyDescent="0.25">
      <c r="AA102" s="35" t="str">
        <f>matrixen!X83</f>
        <v>Gepaneerde garnalen butterfly</v>
      </c>
    </row>
    <row r="103" spans="27:27" x14ac:dyDescent="0.25">
      <c r="AA103" s="35" t="str">
        <f>matrixen!X84</f>
        <v>DESSERT</v>
      </c>
    </row>
    <row r="104" spans="27:27" x14ac:dyDescent="0.25">
      <c r="AA104" s="35" t="str">
        <f>matrixen!X85</f>
        <v>mini dame blanche (1 bol in wijnglas)</v>
      </c>
    </row>
    <row r="105" spans="27:27" x14ac:dyDescent="0.25">
      <c r="AA105" s="35" t="str">
        <f>matrixen!X86</f>
        <v>Bruine chocolademousse</v>
      </c>
    </row>
    <row r="106" spans="27:27" x14ac:dyDescent="0.25">
      <c r="AA106" s="35" t="str">
        <f>matrixen!X87</f>
        <v>Pasteis de nata</v>
      </c>
    </row>
    <row r="107" spans="27:27" x14ac:dyDescent="0.25">
      <c r="AA107" s="35" t="str">
        <f>matrixen!X88</f>
        <v>Chocoladebavarois</v>
      </c>
    </row>
    <row r="108" spans="27:27" x14ac:dyDescent="0.25">
      <c r="AA108" s="35" t="str">
        <f>matrixen!X89</f>
        <v>Miserable</v>
      </c>
    </row>
    <row r="109" spans="27:27" x14ac:dyDescent="0.25">
      <c r="AA109" s="35" t="str">
        <f>matrixen!X90</f>
        <v>mini fruittaartje</v>
      </c>
    </row>
    <row r="110" spans="27:27" x14ac:dyDescent="0.25">
      <c r="AA110" s="35" t="str">
        <f>matrixen!X91</f>
        <v>glaasje fruitsla met perensorbet</v>
      </c>
    </row>
    <row r="111" spans="27:27" x14ac:dyDescent="0.25">
      <c r="AA111" s="35" t="str">
        <f>matrixen!X92</f>
        <v>Witte chocolademousse</v>
      </c>
    </row>
    <row r="114" spans="27:27" x14ac:dyDescent="0.25">
      <c r="AA114" s="35" t="str">
        <f>IF(OR($B$12=matrixen!$B$15,$B$12=matrixen!$B$18),matrixen!P76,"")</f>
        <v/>
      </c>
    </row>
    <row r="115" spans="27:27" x14ac:dyDescent="0.25">
      <c r="AA115" s="35" t="str">
        <f>IF(OR($B$12=matrixen!$B$15,$B$12=matrixen!$B$18),matrixen!P77,"")</f>
        <v/>
      </c>
    </row>
    <row r="116" spans="27:27" x14ac:dyDescent="0.25">
      <c r="AA116" s="35" t="str">
        <f>IF(OR($B$12=matrixen!$B$15,$B$12=matrixen!$B$18),matrixen!P78,"")</f>
        <v/>
      </c>
    </row>
    <row r="117" spans="27:27" x14ac:dyDescent="0.25">
      <c r="AA117" s="35" t="str">
        <f>IF(OR($B$12=matrixen!$B$15,$B$12=matrixen!$B$18),matrixen!P79,"")</f>
        <v/>
      </c>
    </row>
    <row r="118" spans="27:27" x14ac:dyDescent="0.25">
      <c r="AA118" s="35" t="str">
        <f>IF(OR($B$12=matrixen!$B$15,$B$12=matrixen!$B$18),matrixen!P80,"")</f>
        <v/>
      </c>
    </row>
    <row r="119" spans="27:27" x14ac:dyDescent="0.25">
      <c r="AA119" s="35" t="str">
        <f>IF(OR($B$12=matrixen!$B$15,$B$12=matrixen!$B$18),matrixen!P81,"")</f>
        <v/>
      </c>
    </row>
    <row r="120" spans="27:27" x14ac:dyDescent="0.25">
      <c r="AA120" s="35" t="str">
        <f>IF(OR($B$12=matrixen!$B$15,$B$12=matrixen!$B$18),matrixen!P82,"")</f>
        <v/>
      </c>
    </row>
    <row r="163" spans="27:27" x14ac:dyDescent="0.25">
      <c r="AA163" s="35">
        <f>matrixen!X143</f>
        <v>0</v>
      </c>
    </row>
    <row r="164" spans="27:27" x14ac:dyDescent="0.25">
      <c r="AA164" s="35">
        <f>matrixen!X144</f>
        <v>0</v>
      </c>
    </row>
    <row r="165" spans="27:27" x14ac:dyDescent="0.25">
      <c r="AA165" s="35">
        <f>matrixen!X145</f>
        <v>0</v>
      </c>
    </row>
    <row r="166" spans="27:27" x14ac:dyDescent="0.25">
      <c r="AA166" s="35">
        <f>matrixen!X146</f>
        <v>0</v>
      </c>
    </row>
    <row r="167" spans="27:27" x14ac:dyDescent="0.25">
      <c r="AA167" s="35">
        <f>matrixen!X147</f>
        <v>0</v>
      </c>
    </row>
    <row r="168" spans="27:27" x14ac:dyDescent="0.25">
      <c r="AA168" s="35">
        <f>matrixen!X148</f>
        <v>0</v>
      </c>
    </row>
    <row r="169" spans="27:27" x14ac:dyDescent="0.25">
      <c r="AA169" s="35">
        <f>matrixen!X149</f>
        <v>0</v>
      </c>
    </row>
    <row r="170" spans="27:27" x14ac:dyDescent="0.25">
      <c r="AA170" s="35">
        <f>matrixen!X150</f>
        <v>0</v>
      </c>
    </row>
    <row r="171" spans="27:27" x14ac:dyDescent="0.25">
      <c r="AA171" s="35">
        <f>matrixen!X151</f>
        <v>0</v>
      </c>
    </row>
    <row r="172" spans="27:27" x14ac:dyDescent="0.25">
      <c r="AA172" s="35">
        <f>matrixen!X152</f>
        <v>0</v>
      </c>
    </row>
    <row r="173" spans="27:27" x14ac:dyDescent="0.25">
      <c r="AA173" s="35">
        <f>matrixen!X153</f>
        <v>0</v>
      </c>
    </row>
  </sheetData>
  <sheetProtection algorithmName="SHA-512" hashValue="K+m3rT5IKzRPTYaR0z3MmIL/XWezW/qfdmrZZbfYehPC1TC9YQshpuhM5OSS5ErYTIxKw6xmPW6YRALJklR86w==" saltValue="z1uUUCraGehk5X15Z3fXxg==" spinCount="100000" sheet="1" objects="1" scenarios="1" selectLockedCells="1"/>
  <mergeCells count="11">
    <mergeCell ref="B31:B32"/>
    <mergeCell ref="F15:G15"/>
    <mergeCell ref="H49:K49"/>
    <mergeCell ref="K64:V64"/>
    <mergeCell ref="F31:F41"/>
    <mergeCell ref="F27:I27"/>
    <mergeCell ref="F30:H30"/>
    <mergeCell ref="F23:I23"/>
    <mergeCell ref="F24:I24"/>
    <mergeCell ref="F25:I25"/>
    <mergeCell ref="F26:I26"/>
  </mergeCells>
  <conditionalFormatting sqref="G54">
    <cfRule type="cellIs" dxfId="20" priority="7" operator="greaterThan">
      <formula>604.73</formula>
    </cfRule>
    <cfRule type="cellIs" dxfId="19" priority="8" operator="greaterThan">
      <formula>0</formula>
    </cfRule>
  </conditionalFormatting>
  <conditionalFormatting sqref="F31">
    <cfRule type="containsText" dxfId="18" priority="4" operator="containsText" text="hapjes">
      <formula>NOT(ISERROR(SEARCH("hapjes",F31)))</formula>
    </cfRule>
  </conditionalFormatting>
  <conditionalFormatting sqref="F12">
    <cfRule type="containsText" dxfId="17" priority="3" operator="containsText" text="moet">
      <formula>NOT(ISERROR(SEARCH("moet",F12)))</formula>
    </cfRule>
  </conditionalFormatting>
  <conditionalFormatting sqref="B31:B32">
    <cfRule type="containsText" dxfId="16" priority="2" operator="containsText" text="forfait">
      <formula>NOT(ISERROR(SEARCH("forfait",B31)))</formula>
    </cfRule>
  </conditionalFormatting>
  <conditionalFormatting sqref="F15">
    <cfRule type="containsText" dxfId="15" priority="1" operator="containsText" text="nocturne">
      <formula>NOT(ISERROR(SEARCH("nocturne",F15)))</formula>
    </cfRule>
  </conditionalFormatting>
  <dataValidations count="14">
    <dataValidation type="whole" errorStyle="warning" allowBlank="1" showInputMessage="1" showErrorMessage="1" errorTitle="Bent u zeker?" error="U geeft bij voorkeur een getal in  tussen 10 en 250. Let op de verkoopsvoorwaarden punt 7!" sqref="F50" xr:uid="{00000000-0002-0000-0000-000000000000}">
      <formula1>10</formula1>
      <formula2>250</formula2>
    </dataValidation>
    <dataValidation type="list" allowBlank="1" showInputMessage="1" showErrorMessage="1" sqref="B21" xr:uid="{00000000-0002-0000-0000-000001000000}">
      <formula1>$AA$24:$AA$26</formula1>
    </dataValidation>
    <dataValidation type="list" allowBlank="1" showInputMessage="1" showErrorMessage="1" sqref="B33" xr:uid="{00000000-0002-0000-0000-000002000000}">
      <formula1>$AA$42:$AA$44</formula1>
    </dataValidation>
    <dataValidation type="list" allowBlank="1" showInputMessage="1" showErrorMessage="1" sqref="G42 G44 K62 K66 K42 I44 I42 B47 B39" xr:uid="{00000000-0002-0000-0000-000003000000}">
      <formula1>$AA$46:$AA$47</formula1>
    </dataValidation>
    <dataValidation type="list" allowBlank="1" showInputMessage="1" showErrorMessage="1" sqref="B16" xr:uid="{00000000-0002-0000-0000-000004000000}">
      <formula1>$B$17:$B$18</formula1>
    </dataValidation>
    <dataValidation type="whole" allowBlank="1" showInputMessage="1" showErrorMessage="1" sqref="F51:F53" xr:uid="{00000000-0002-0000-0000-000005000000}">
      <formula1>0</formula1>
      <formula2>100</formula2>
    </dataValidation>
    <dataValidation type="whole" allowBlank="1" showInputMessage="1" showErrorMessage="1" errorTitle="NCBR" error="U kunt alleen een geheel getal van 0 tot 2 invoeren." promptTitle="Extra uren drank" prompt="Voer hier één van de volgende getallen in: 0, 1, 2 of 3. Bij meer dan 3 uren kies je beter in het gele vak hierboven voor het forfait._x000a_" sqref="B36" xr:uid="{00000000-0002-0000-0000-000006000000}">
      <formula1>0</formula1>
      <formula2>3</formula2>
    </dataValidation>
    <dataValidation type="list" allowBlank="1" showInputMessage="1" showErrorMessage="1" sqref="B12" xr:uid="{00000000-0002-0000-0000-000008000000}">
      <formula1>$AA$12:$AA$23</formula1>
    </dataValidation>
    <dataValidation type="list" allowBlank="1" showInputMessage="1" showErrorMessage="1" sqref="K64:V64" xr:uid="{00000000-0002-0000-0000-000009000000}">
      <formula1>$AA$52:$AA$54</formula1>
    </dataValidation>
    <dataValidation type="list" allowBlank="1" showInputMessage="1" showErrorMessage="1" sqref="B25:B28 F23:F27 G24:I27" xr:uid="{00000000-0002-0000-0000-00000B000000}">
      <formula1>hapjes</formula1>
    </dataValidation>
    <dataValidation type="date" operator="greaterThan" allowBlank="1" showInputMessage="1" showErrorMessage="1" errorTitle="NCBR" error="De datum moet in de toekomst liggen!_x000a_" prompt="Om uw keuze te bewaren, kies “opslaan als” en sla het bestand op op uw harde schijf. " sqref="F48" xr:uid="{00000000-0002-0000-0000-00000C000000}">
      <formula1>L1</formula1>
    </dataValidation>
    <dataValidation type="list" allowBlank="1" showInputMessage="1" showErrorMessage="1" sqref="B81 B83 B85" xr:uid="{2B3DA7D5-40B8-4ADD-88E8-534D7839C882}">
      <formula1>$AA$114:$AA$120</formula1>
    </dataValidation>
    <dataValidation type="list" allowBlank="1" showInputMessage="1" showErrorMessage="1" sqref="B41 B43 B45" xr:uid="{CD37764F-AC0B-4B57-909D-D075DAAAA76A}">
      <formula1>$AC$56:$AC$70</formula1>
    </dataValidation>
    <dataValidation type="list" allowBlank="1" showInputMessage="1" showErrorMessage="1" sqref="F30" xr:uid="{24C93ADC-423A-4CC9-B67D-45F80BA1EFC7}">
      <formula1>dessert</formula1>
    </dataValidation>
  </dataValidations>
  <pageMargins left="0.7" right="0.7" top="0.75" bottom="0.75" header="0.3" footer="0.3"/>
  <pageSetup paperSize="9" orientation="portrait" horizontalDpi="300" verticalDpi="300" r:id="rId1"/>
  <ignoredErrors>
    <ignoredError sqref="F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Herbegin">
                <anchor moveWithCells="1" sizeWithCells="1">
                  <from>
                    <xdr:col>1</xdr:col>
                    <xdr:colOff>104775</xdr:colOff>
                    <xdr:row>3</xdr:row>
                    <xdr:rowOff>123825</xdr:rowOff>
                  </from>
                  <to>
                    <xdr:col>1</xdr:col>
                    <xdr:colOff>1733550</xdr:colOff>
                    <xdr:row>6</xdr:row>
                    <xdr:rowOff>200025</xdr:rowOff>
                  </to>
                </anchor>
              </controlPr>
            </control>
          </mc:Choice>
        </mc:AlternateContent>
        <mc:AlternateContent xmlns:mc="http://schemas.openxmlformats.org/markup-compatibility/2006">
          <mc:Choice Requires="x14">
            <control shapeId="1029" r:id="rId5" name="Button 5">
              <controlPr defaultSize="0" print="0" autoFill="0" autoPict="0" macro="[0]!Druk_voorstel_af">
                <anchor moveWithCells="1" sizeWithCells="1">
                  <from>
                    <xdr:col>1</xdr:col>
                    <xdr:colOff>1905000</xdr:colOff>
                    <xdr:row>3</xdr:row>
                    <xdr:rowOff>142875</xdr:rowOff>
                  </from>
                  <to>
                    <xdr:col>1</xdr:col>
                    <xdr:colOff>3505200</xdr:colOff>
                    <xdr:row>6</xdr:row>
                    <xdr:rowOff>200025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ErrorMessage="1" promptTitle="OPGELET!" prompt="De tekst die in de gele vakken staat mag gewoon blijven staan indien u niets wenst te selecteren maar geen enkel geel vak mag helemaal leeg zijn, anders werkt dit hulpmiddel niet." xr:uid="{00000000-0002-0000-0000-00000D000000}">
          <x14:formula1>
            <xm:f>matrixen!$X$14:$AH$14</xm:f>
          </x14:formula1>
          <xm:sqref>B12</xm:sqref>
        </x14:dataValidation>
        <x14:dataValidation type="list" allowBlank="1" showInputMessage="1" showErrorMessage="1" xr:uid="{00000000-0002-0000-0000-00000E000000}">
          <x14:formula1>
            <xm:f>matrixen!$A$381:$A$383</xm:f>
          </x14:formula1>
          <xm:sqref>K64</xm:sqref>
        </x14:dataValidation>
        <x14:dataValidation type="list" allowBlank="1" showInputMessage="1" showErrorMessage="1" xr:uid="{CED78A27-C5BA-45DF-913E-7C1190894262}">
          <x14:formula1>
            <xm:f>matrixen!$A$301:$A$305</xm:f>
          </x14:formula1>
          <xm:sqref>B57:B59</xm:sqref>
        </x14:dataValidation>
        <x14:dataValidation type="list" allowBlank="1" showInputMessage="1" showErrorMessage="1" xr:uid="{58C3B521-A62F-4D18-947E-5CA4A1CBD99E}">
          <x14:formula1>
            <xm:f>matrixen!$A$500:$A$523</xm:f>
          </x14:formula1>
          <xm:sqref>H46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AI523"/>
  <sheetViews>
    <sheetView showGridLines="0" showRowColHeaders="0" workbookViewId="0"/>
  </sheetViews>
  <sheetFormatPr defaultColWidth="13.42578125" defaultRowHeight="15" x14ac:dyDescent="0.25"/>
  <cols>
    <col min="1" max="11" width="13.42578125" style="35"/>
    <col min="12" max="12" width="61" style="35" bestFit="1" customWidth="1"/>
    <col min="13" max="267" width="13.42578125" style="35"/>
    <col min="268" max="268" width="61" style="35" bestFit="1" customWidth="1"/>
    <col min="269" max="523" width="13.42578125" style="35"/>
    <col min="524" max="524" width="61" style="35" bestFit="1" customWidth="1"/>
    <col min="525" max="779" width="13.42578125" style="35"/>
    <col min="780" max="780" width="61" style="35" bestFit="1" customWidth="1"/>
    <col min="781" max="1035" width="13.42578125" style="35"/>
    <col min="1036" max="1036" width="61" style="35" bestFit="1" customWidth="1"/>
    <col min="1037" max="1291" width="13.42578125" style="35"/>
    <col min="1292" max="1292" width="61" style="35" bestFit="1" customWidth="1"/>
    <col min="1293" max="1547" width="13.42578125" style="35"/>
    <col min="1548" max="1548" width="61" style="35" bestFit="1" customWidth="1"/>
    <col min="1549" max="1803" width="13.42578125" style="35"/>
    <col min="1804" max="1804" width="61" style="35" bestFit="1" customWidth="1"/>
    <col min="1805" max="2059" width="13.42578125" style="35"/>
    <col min="2060" max="2060" width="61" style="35" bestFit="1" customWidth="1"/>
    <col min="2061" max="2315" width="13.42578125" style="35"/>
    <col min="2316" max="2316" width="61" style="35" bestFit="1" customWidth="1"/>
    <col min="2317" max="2571" width="13.42578125" style="35"/>
    <col min="2572" max="2572" width="61" style="35" bestFit="1" customWidth="1"/>
    <col min="2573" max="2827" width="13.42578125" style="35"/>
    <col min="2828" max="2828" width="61" style="35" bestFit="1" customWidth="1"/>
    <col min="2829" max="3083" width="13.42578125" style="35"/>
    <col min="3084" max="3084" width="61" style="35" bestFit="1" customWidth="1"/>
    <col min="3085" max="3339" width="13.42578125" style="35"/>
    <col min="3340" max="3340" width="61" style="35" bestFit="1" customWidth="1"/>
    <col min="3341" max="3595" width="13.42578125" style="35"/>
    <col min="3596" max="3596" width="61" style="35" bestFit="1" customWidth="1"/>
    <col min="3597" max="3851" width="13.42578125" style="35"/>
    <col min="3852" max="3852" width="61" style="35" bestFit="1" customWidth="1"/>
    <col min="3853" max="4107" width="13.42578125" style="35"/>
    <col min="4108" max="4108" width="61" style="35" bestFit="1" customWidth="1"/>
    <col min="4109" max="4363" width="13.42578125" style="35"/>
    <col min="4364" max="4364" width="61" style="35" bestFit="1" customWidth="1"/>
    <col min="4365" max="4619" width="13.42578125" style="35"/>
    <col min="4620" max="4620" width="61" style="35" bestFit="1" customWidth="1"/>
    <col min="4621" max="4875" width="13.42578125" style="35"/>
    <col min="4876" max="4876" width="61" style="35" bestFit="1" customWidth="1"/>
    <col min="4877" max="5131" width="13.42578125" style="35"/>
    <col min="5132" max="5132" width="61" style="35" bestFit="1" customWidth="1"/>
    <col min="5133" max="5387" width="13.42578125" style="35"/>
    <col min="5388" max="5388" width="61" style="35" bestFit="1" customWidth="1"/>
    <col min="5389" max="5643" width="13.42578125" style="35"/>
    <col min="5644" max="5644" width="61" style="35" bestFit="1" customWidth="1"/>
    <col min="5645" max="5899" width="13.42578125" style="35"/>
    <col min="5900" max="5900" width="61" style="35" bestFit="1" customWidth="1"/>
    <col min="5901" max="6155" width="13.42578125" style="35"/>
    <col min="6156" max="6156" width="61" style="35" bestFit="1" customWidth="1"/>
    <col min="6157" max="6411" width="13.42578125" style="35"/>
    <col min="6412" max="6412" width="61" style="35" bestFit="1" customWidth="1"/>
    <col min="6413" max="6667" width="13.42578125" style="35"/>
    <col min="6668" max="6668" width="61" style="35" bestFit="1" customWidth="1"/>
    <col min="6669" max="6923" width="13.42578125" style="35"/>
    <col min="6924" max="6924" width="61" style="35" bestFit="1" customWidth="1"/>
    <col min="6925" max="7179" width="13.42578125" style="35"/>
    <col min="7180" max="7180" width="61" style="35" bestFit="1" customWidth="1"/>
    <col min="7181" max="7435" width="13.42578125" style="35"/>
    <col min="7436" max="7436" width="61" style="35" bestFit="1" customWidth="1"/>
    <col min="7437" max="7691" width="13.42578125" style="35"/>
    <col min="7692" max="7692" width="61" style="35" bestFit="1" customWidth="1"/>
    <col min="7693" max="7947" width="13.42578125" style="35"/>
    <col min="7948" max="7948" width="61" style="35" bestFit="1" customWidth="1"/>
    <col min="7949" max="8203" width="13.42578125" style="35"/>
    <col min="8204" max="8204" width="61" style="35" bestFit="1" customWidth="1"/>
    <col min="8205" max="8459" width="13.42578125" style="35"/>
    <col min="8460" max="8460" width="61" style="35" bestFit="1" customWidth="1"/>
    <col min="8461" max="8715" width="13.42578125" style="35"/>
    <col min="8716" max="8716" width="61" style="35" bestFit="1" customWidth="1"/>
    <col min="8717" max="8971" width="13.42578125" style="35"/>
    <col min="8972" max="8972" width="61" style="35" bestFit="1" customWidth="1"/>
    <col min="8973" max="9227" width="13.42578125" style="35"/>
    <col min="9228" max="9228" width="61" style="35" bestFit="1" customWidth="1"/>
    <col min="9229" max="9483" width="13.42578125" style="35"/>
    <col min="9484" max="9484" width="61" style="35" bestFit="1" customWidth="1"/>
    <col min="9485" max="9739" width="13.42578125" style="35"/>
    <col min="9740" max="9740" width="61" style="35" bestFit="1" customWidth="1"/>
    <col min="9741" max="9995" width="13.42578125" style="35"/>
    <col min="9996" max="9996" width="61" style="35" bestFit="1" customWidth="1"/>
    <col min="9997" max="10251" width="13.42578125" style="35"/>
    <col min="10252" max="10252" width="61" style="35" bestFit="1" customWidth="1"/>
    <col min="10253" max="10507" width="13.42578125" style="35"/>
    <col min="10508" max="10508" width="61" style="35" bestFit="1" customWidth="1"/>
    <col min="10509" max="10763" width="13.42578125" style="35"/>
    <col min="10764" max="10764" width="61" style="35" bestFit="1" customWidth="1"/>
    <col min="10765" max="11019" width="13.42578125" style="35"/>
    <col min="11020" max="11020" width="61" style="35" bestFit="1" customWidth="1"/>
    <col min="11021" max="11275" width="13.42578125" style="35"/>
    <col min="11276" max="11276" width="61" style="35" bestFit="1" customWidth="1"/>
    <col min="11277" max="11531" width="13.42578125" style="35"/>
    <col min="11532" max="11532" width="61" style="35" bestFit="1" customWidth="1"/>
    <col min="11533" max="11787" width="13.42578125" style="35"/>
    <col min="11788" max="11788" width="61" style="35" bestFit="1" customWidth="1"/>
    <col min="11789" max="12043" width="13.42578125" style="35"/>
    <col min="12044" max="12044" width="61" style="35" bestFit="1" customWidth="1"/>
    <col min="12045" max="12299" width="13.42578125" style="35"/>
    <col min="12300" max="12300" width="61" style="35" bestFit="1" customWidth="1"/>
    <col min="12301" max="12555" width="13.42578125" style="35"/>
    <col min="12556" max="12556" width="61" style="35" bestFit="1" customWidth="1"/>
    <col min="12557" max="12811" width="13.42578125" style="35"/>
    <col min="12812" max="12812" width="61" style="35" bestFit="1" customWidth="1"/>
    <col min="12813" max="13067" width="13.42578125" style="35"/>
    <col min="13068" max="13068" width="61" style="35" bestFit="1" customWidth="1"/>
    <col min="13069" max="13323" width="13.42578125" style="35"/>
    <col min="13324" max="13324" width="61" style="35" bestFit="1" customWidth="1"/>
    <col min="13325" max="13579" width="13.42578125" style="35"/>
    <col min="13580" max="13580" width="61" style="35" bestFit="1" customWidth="1"/>
    <col min="13581" max="13835" width="13.42578125" style="35"/>
    <col min="13836" max="13836" width="61" style="35" bestFit="1" customWidth="1"/>
    <col min="13837" max="14091" width="13.42578125" style="35"/>
    <col min="14092" max="14092" width="61" style="35" bestFit="1" customWidth="1"/>
    <col min="14093" max="14347" width="13.42578125" style="35"/>
    <col min="14348" max="14348" width="61" style="35" bestFit="1" customWidth="1"/>
    <col min="14349" max="14603" width="13.42578125" style="35"/>
    <col min="14604" max="14604" width="61" style="35" bestFit="1" customWidth="1"/>
    <col min="14605" max="14859" width="13.42578125" style="35"/>
    <col min="14860" max="14860" width="61" style="35" bestFit="1" customWidth="1"/>
    <col min="14861" max="15115" width="13.42578125" style="35"/>
    <col min="15116" max="15116" width="61" style="35" bestFit="1" customWidth="1"/>
    <col min="15117" max="15371" width="13.42578125" style="35"/>
    <col min="15372" max="15372" width="61" style="35" bestFit="1" customWidth="1"/>
    <col min="15373" max="15627" width="13.42578125" style="35"/>
    <col min="15628" max="15628" width="61" style="35" bestFit="1" customWidth="1"/>
    <col min="15629" max="15883" width="13.42578125" style="35"/>
    <col min="15884" max="15884" width="61" style="35" bestFit="1" customWidth="1"/>
    <col min="15885" max="16139" width="13.42578125" style="35"/>
    <col min="16140" max="16140" width="61" style="35" bestFit="1" customWidth="1"/>
    <col min="16141" max="16384" width="13.42578125" style="35"/>
  </cols>
  <sheetData>
    <row r="1" spans="2:34" x14ac:dyDescent="0.25">
      <c r="B1" s="116" t="s">
        <v>415</v>
      </c>
      <c r="L1" s="117" t="s">
        <v>271</v>
      </c>
      <c r="M1" s="117"/>
      <c r="N1" s="117"/>
      <c r="O1" s="117"/>
      <c r="P1" s="117">
        <v>15</v>
      </c>
      <c r="AG1" s="35" t="s">
        <v>30</v>
      </c>
    </row>
    <row r="2" spans="2:34" x14ac:dyDescent="0.25">
      <c r="L2" s="117" t="s">
        <v>272</v>
      </c>
      <c r="M2" s="117"/>
      <c r="N2" s="117"/>
      <c r="O2" s="117">
        <v>1</v>
      </c>
      <c r="P2" s="117" t="s">
        <v>273</v>
      </c>
      <c r="Q2" s="117"/>
      <c r="R2" s="117">
        <v>12</v>
      </c>
      <c r="S2" s="117" t="s">
        <v>274</v>
      </c>
      <c r="AG2" s="35" t="s">
        <v>31</v>
      </c>
      <c r="AH2" s="35" t="s">
        <v>40</v>
      </c>
    </row>
    <row r="3" spans="2:34" x14ac:dyDescent="0.25">
      <c r="AH3" s="35" t="s">
        <v>249</v>
      </c>
    </row>
    <row r="4" spans="2:34" x14ac:dyDescent="0.25">
      <c r="AH4" s="35" t="s">
        <v>44</v>
      </c>
    </row>
    <row r="7" spans="2:34" x14ac:dyDescent="0.25">
      <c r="B7" s="35" t="s">
        <v>114</v>
      </c>
      <c r="E7" s="118">
        <v>1250</v>
      </c>
    </row>
    <row r="13" spans="2:34" x14ac:dyDescent="0.25">
      <c r="B13" s="35" t="s">
        <v>78</v>
      </c>
      <c r="I13" s="118">
        <v>0</v>
      </c>
    </row>
    <row r="14" spans="2:34" ht="60" customHeight="1" x14ac:dyDescent="0.25">
      <c r="B14" s="35" t="s">
        <v>331</v>
      </c>
      <c r="I14" s="119">
        <v>33</v>
      </c>
      <c r="K14" s="120" t="s">
        <v>78</v>
      </c>
      <c r="L14" s="120" t="s">
        <v>331</v>
      </c>
      <c r="M14" s="120" t="s">
        <v>332</v>
      </c>
      <c r="N14" s="120" t="s">
        <v>68</v>
      </c>
      <c r="O14" s="120" t="s">
        <v>341</v>
      </c>
      <c r="P14" s="120"/>
      <c r="Q14" s="120"/>
      <c r="R14" s="120" t="s">
        <v>67</v>
      </c>
      <c r="S14" s="120" t="s">
        <v>250</v>
      </c>
      <c r="T14" s="120" t="s">
        <v>251</v>
      </c>
      <c r="U14" s="120" t="s">
        <v>252</v>
      </c>
      <c r="V14" s="120" t="s">
        <v>253</v>
      </c>
      <c r="W14" s="35" t="s">
        <v>78</v>
      </c>
      <c r="X14" s="120" t="s">
        <v>331</v>
      </c>
      <c r="Y14" s="120" t="s">
        <v>332</v>
      </c>
      <c r="Z14" s="120" t="s">
        <v>68</v>
      </c>
      <c r="AA14" s="120" t="s">
        <v>341</v>
      </c>
      <c r="AB14" s="120">
        <v>0</v>
      </c>
      <c r="AC14" s="120">
        <v>0</v>
      </c>
      <c r="AD14" s="120" t="s">
        <v>67</v>
      </c>
      <c r="AE14" s="120" t="s">
        <v>250</v>
      </c>
      <c r="AF14" s="120" t="s">
        <v>251</v>
      </c>
      <c r="AG14" s="120" t="s">
        <v>252</v>
      </c>
      <c r="AH14" s="120" t="s">
        <v>253</v>
      </c>
    </row>
    <row r="15" spans="2:34" x14ac:dyDescent="0.25">
      <c r="B15" s="35" t="s">
        <v>332</v>
      </c>
      <c r="I15" s="119">
        <v>33</v>
      </c>
      <c r="L15" s="35" t="s">
        <v>215</v>
      </c>
      <c r="M15" s="35" t="s">
        <v>333</v>
      </c>
      <c r="N15" s="35" t="s">
        <v>216</v>
      </c>
      <c r="O15" s="35" t="s">
        <v>215</v>
      </c>
      <c r="R15" s="35" t="s">
        <v>92</v>
      </c>
      <c r="S15" s="35" t="s">
        <v>99</v>
      </c>
      <c r="T15" s="35" t="s">
        <v>99</v>
      </c>
      <c r="U15" s="35" t="s">
        <v>99</v>
      </c>
      <c r="V15" s="35" t="s">
        <v>99</v>
      </c>
      <c r="X15" s="35" t="s">
        <v>86</v>
      </c>
      <c r="Y15" s="35" t="s">
        <v>86</v>
      </c>
      <c r="Z15" s="35" t="s">
        <v>289</v>
      </c>
      <c r="AA15" s="35" t="s">
        <v>86</v>
      </c>
      <c r="AB15" s="35">
        <v>0</v>
      </c>
      <c r="AC15" s="35">
        <v>0</v>
      </c>
      <c r="AD15" s="35" t="s">
        <v>289</v>
      </c>
      <c r="AE15" s="35" t="s">
        <v>27</v>
      </c>
      <c r="AF15" s="35" t="s">
        <v>27</v>
      </c>
      <c r="AG15" s="35" t="s">
        <v>27</v>
      </c>
      <c r="AH15" s="35" t="s">
        <v>27</v>
      </c>
    </row>
    <row r="16" spans="2:34" x14ac:dyDescent="0.25">
      <c r="B16" s="35" t="s">
        <v>68</v>
      </c>
      <c r="I16" s="119">
        <v>18.100000000000001</v>
      </c>
      <c r="L16" s="35" t="s">
        <v>217</v>
      </c>
      <c r="M16" s="35" t="s">
        <v>334</v>
      </c>
      <c r="N16" s="35" t="s">
        <v>218</v>
      </c>
      <c r="O16" s="35" t="s">
        <v>217</v>
      </c>
      <c r="R16" s="35" t="s">
        <v>96</v>
      </c>
      <c r="S16" s="35" t="s">
        <v>98</v>
      </c>
      <c r="T16" s="35" t="s">
        <v>98</v>
      </c>
      <c r="U16" s="35" t="s">
        <v>98</v>
      </c>
      <c r="V16" s="35" t="s">
        <v>98</v>
      </c>
      <c r="X16" s="35" t="s">
        <v>219</v>
      </c>
      <c r="Y16" s="35" t="s">
        <v>219</v>
      </c>
      <c r="Z16" s="35" t="s">
        <v>290</v>
      </c>
      <c r="AA16" s="35" t="s">
        <v>219</v>
      </c>
      <c r="AB16" s="35">
        <v>0</v>
      </c>
      <c r="AC16" s="35">
        <v>0</v>
      </c>
      <c r="AD16" s="35" t="s">
        <v>290</v>
      </c>
      <c r="AE16" s="35" t="s">
        <v>28</v>
      </c>
      <c r="AF16" s="35" t="s">
        <v>28</v>
      </c>
      <c r="AG16" s="35" t="s">
        <v>28</v>
      </c>
      <c r="AH16" s="35" t="s">
        <v>28</v>
      </c>
    </row>
    <row r="17" spans="2:34" x14ac:dyDescent="0.25">
      <c r="B17" s="35" t="s">
        <v>67</v>
      </c>
      <c r="I17" s="119">
        <v>15.5</v>
      </c>
      <c r="L17" s="35" t="s">
        <v>91</v>
      </c>
      <c r="M17" s="35" t="s">
        <v>339</v>
      </c>
      <c r="N17" s="35" t="s">
        <v>221</v>
      </c>
      <c r="O17" s="35" t="s">
        <v>91</v>
      </c>
      <c r="R17" s="35" t="s">
        <v>93</v>
      </c>
      <c r="S17" s="35" t="s">
        <v>100</v>
      </c>
      <c r="T17" s="35" t="s">
        <v>100</v>
      </c>
      <c r="U17" s="35" t="s">
        <v>100</v>
      </c>
      <c r="V17" s="35" t="s">
        <v>100</v>
      </c>
      <c r="X17" s="35" t="s">
        <v>222</v>
      </c>
      <c r="Y17" s="35" t="s">
        <v>222</v>
      </c>
      <c r="Z17" s="35" t="s">
        <v>291</v>
      </c>
      <c r="AA17" s="35" t="s">
        <v>222</v>
      </c>
      <c r="AB17" s="35">
        <v>0</v>
      </c>
      <c r="AC17" s="35">
        <v>0</v>
      </c>
      <c r="AD17" s="35" t="s">
        <v>291</v>
      </c>
      <c r="AE17" s="35" t="s">
        <v>29</v>
      </c>
      <c r="AF17" s="35" t="s">
        <v>29</v>
      </c>
      <c r="AG17" s="35" t="s">
        <v>29</v>
      </c>
      <c r="AH17" s="35" t="s">
        <v>29</v>
      </c>
    </row>
    <row r="18" spans="2:34" x14ac:dyDescent="0.25">
      <c r="B18" s="35" t="s">
        <v>341</v>
      </c>
      <c r="I18" s="119">
        <v>33</v>
      </c>
      <c r="M18" s="35" t="s">
        <v>335</v>
      </c>
      <c r="N18" s="35" t="s">
        <v>223</v>
      </c>
      <c r="O18" s="35" t="s">
        <v>342</v>
      </c>
      <c r="R18" s="35" t="s">
        <v>95</v>
      </c>
      <c r="S18" s="35" t="s">
        <v>102</v>
      </c>
      <c r="T18" s="35" t="s">
        <v>102</v>
      </c>
      <c r="U18" s="35" t="s">
        <v>102</v>
      </c>
      <c r="V18" s="35" t="s">
        <v>102</v>
      </c>
      <c r="X18" s="121" t="s">
        <v>224</v>
      </c>
      <c r="Y18" s="121" t="s">
        <v>224</v>
      </c>
      <c r="Z18" s="35" t="s">
        <v>292</v>
      </c>
      <c r="AA18" s="35" t="s">
        <v>224</v>
      </c>
      <c r="AB18" s="35">
        <v>0</v>
      </c>
      <c r="AC18" s="35">
        <v>0</v>
      </c>
      <c r="AD18" s="35" t="s">
        <v>292</v>
      </c>
      <c r="AE18" s="35" t="s">
        <v>290</v>
      </c>
      <c r="AF18" s="35" t="s">
        <v>290</v>
      </c>
      <c r="AG18" s="35" t="s">
        <v>220</v>
      </c>
      <c r="AH18" s="35" t="s">
        <v>220</v>
      </c>
    </row>
    <row r="19" spans="2:34" x14ac:dyDescent="0.25">
      <c r="B19" s="35" t="s">
        <v>250</v>
      </c>
      <c r="I19" s="119">
        <v>36</v>
      </c>
      <c r="M19" s="35" t="s">
        <v>336</v>
      </c>
      <c r="N19" s="35" t="s">
        <v>225</v>
      </c>
      <c r="O19" s="35" t="s">
        <v>343</v>
      </c>
      <c r="R19" s="35" t="s">
        <v>94</v>
      </c>
      <c r="S19" s="35" t="s">
        <v>101</v>
      </c>
      <c r="T19" s="35" t="s">
        <v>101</v>
      </c>
      <c r="U19" s="35" t="s">
        <v>101</v>
      </c>
      <c r="V19" s="35" t="s">
        <v>101</v>
      </c>
      <c r="X19" s="35" t="s">
        <v>84</v>
      </c>
      <c r="Y19" s="35" t="s">
        <v>84</v>
      </c>
      <c r="Z19" s="35" t="s">
        <v>293</v>
      </c>
      <c r="AA19" s="35" t="s">
        <v>84</v>
      </c>
      <c r="AB19" s="35">
        <v>0</v>
      </c>
      <c r="AC19" s="35">
        <v>0</v>
      </c>
      <c r="AD19" s="35" t="s">
        <v>293</v>
      </c>
      <c r="AE19" s="35" t="s">
        <v>51</v>
      </c>
      <c r="AF19" s="35" t="s">
        <v>51</v>
      </c>
      <c r="AG19" s="35" t="s">
        <v>51</v>
      </c>
      <c r="AH19" s="35" t="s">
        <v>51</v>
      </c>
    </row>
    <row r="20" spans="2:34" x14ac:dyDescent="0.25">
      <c r="B20" s="35" t="s">
        <v>251</v>
      </c>
      <c r="I20" s="119">
        <v>40</v>
      </c>
      <c r="M20" s="35" t="s">
        <v>337</v>
      </c>
      <c r="N20" s="35" t="s">
        <v>328</v>
      </c>
      <c r="R20" s="35" t="s">
        <v>97</v>
      </c>
      <c r="S20" s="35" t="s">
        <v>257</v>
      </c>
      <c r="T20" s="35" t="s">
        <v>257</v>
      </c>
      <c r="U20" s="35" t="s">
        <v>258</v>
      </c>
      <c r="V20" s="35" t="s">
        <v>258</v>
      </c>
      <c r="X20" s="35" t="s">
        <v>189</v>
      </c>
      <c r="Y20" s="35" t="s">
        <v>189</v>
      </c>
      <c r="Z20" s="35">
        <v>0</v>
      </c>
      <c r="AA20" s="35" t="s">
        <v>189</v>
      </c>
      <c r="AB20" s="35">
        <v>0</v>
      </c>
      <c r="AC20" s="35">
        <v>0</v>
      </c>
      <c r="AD20" s="35">
        <v>0</v>
      </c>
      <c r="AE20" s="35" t="s">
        <v>49</v>
      </c>
      <c r="AF20" s="35" t="s">
        <v>49</v>
      </c>
      <c r="AG20" s="35" t="s">
        <v>49</v>
      </c>
      <c r="AH20" s="35" t="s">
        <v>49</v>
      </c>
    </row>
    <row r="21" spans="2:34" x14ac:dyDescent="0.25">
      <c r="N21" s="35" t="s">
        <v>329</v>
      </c>
      <c r="S21" s="35" t="s">
        <v>259</v>
      </c>
      <c r="T21" s="35" t="s">
        <v>260</v>
      </c>
      <c r="U21" s="35" t="s">
        <v>261</v>
      </c>
      <c r="V21" s="35" t="s">
        <v>262</v>
      </c>
      <c r="X21" s="35" t="s">
        <v>226</v>
      </c>
      <c r="Y21" s="35" t="s">
        <v>226</v>
      </c>
      <c r="Z21" s="35" t="s">
        <v>294</v>
      </c>
      <c r="AA21" s="35" t="s">
        <v>226</v>
      </c>
      <c r="AB21" s="35">
        <v>0</v>
      </c>
      <c r="AC21" s="35">
        <v>0</v>
      </c>
      <c r="AD21" s="35" t="s">
        <v>300</v>
      </c>
      <c r="AE21" s="35" t="s">
        <v>50</v>
      </c>
      <c r="AF21" s="35" t="s">
        <v>50</v>
      </c>
      <c r="AG21" s="35" t="s">
        <v>50</v>
      </c>
      <c r="AH21" s="35" t="s">
        <v>50</v>
      </c>
    </row>
    <row r="22" spans="2:34" x14ac:dyDescent="0.25">
      <c r="B22" s="35" t="s">
        <v>252</v>
      </c>
      <c r="I22" s="119">
        <v>36</v>
      </c>
      <c r="T22" s="35" t="s">
        <v>263</v>
      </c>
      <c r="V22" s="35" t="s">
        <v>263</v>
      </c>
      <c r="X22" s="35" t="s">
        <v>227</v>
      </c>
      <c r="Y22" s="35" t="s">
        <v>227</v>
      </c>
      <c r="Z22" s="35" t="s">
        <v>303</v>
      </c>
      <c r="AA22" s="35" t="s">
        <v>227</v>
      </c>
      <c r="AB22" s="35">
        <v>0</v>
      </c>
      <c r="AD22" s="35" t="s">
        <v>301</v>
      </c>
      <c r="AE22" s="121" t="s">
        <v>30</v>
      </c>
      <c r="AF22" s="121" t="s">
        <v>30</v>
      </c>
      <c r="AG22" s="35" t="s">
        <v>30</v>
      </c>
      <c r="AH22" s="35" t="s">
        <v>30</v>
      </c>
    </row>
    <row r="23" spans="2:34" x14ac:dyDescent="0.25">
      <c r="B23" s="35" t="s">
        <v>253</v>
      </c>
      <c r="I23" s="119">
        <v>40</v>
      </c>
      <c r="X23" s="35" t="s">
        <v>85</v>
      </c>
      <c r="Y23" s="35" t="s">
        <v>85</v>
      </c>
      <c r="Z23" s="35" t="s">
        <v>295</v>
      </c>
      <c r="AA23" s="35" t="s">
        <v>85</v>
      </c>
      <c r="AD23" s="35" t="s">
        <v>302</v>
      </c>
      <c r="AE23" s="121"/>
      <c r="AF23" s="121"/>
    </row>
    <row r="24" spans="2:34" x14ac:dyDescent="0.25">
      <c r="X24" s="35" t="s">
        <v>229</v>
      </c>
      <c r="Y24" s="35" t="s">
        <v>229</v>
      </c>
      <c r="Z24" s="35" t="s">
        <v>296</v>
      </c>
      <c r="AA24" s="35" t="s">
        <v>229</v>
      </c>
      <c r="AB24" s="35">
        <v>0</v>
      </c>
      <c r="AD24" s="35">
        <v>0</v>
      </c>
      <c r="AE24" s="35" t="s">
        <v>35</v>
      </c>
      <c r="AF24" s="35" t="s">
        <v>35</v>
      </c>
      <c r="AG24" s="35" t="s">
        <v>35</v>
      </c>
      <c r="AH24" s="35" t="s">
        <v>35</v>
      </c>
    </row>
    <row r="25" spans="2:34" x14ac:dyDescent="0.25">
      <c r="B25" s="35" t="s">
        <v>228</v>
      </c>
      <c r="I25" s="119">
        <v>0</v>
      </c>
      <c r="X25" s="35" t="s">
        <v>230</v>
      </c>
      <c r="Y25" s="35" t="s">
        <v>230</v>
      </c>
      <c r="AA25" s="35" t="s">
        <v>230</v>
      </c>
      <c r="AB25" s="35">
        <v>0</v>
      </c>
      <c r="AC25" s="35">
        <v>0</v>
      </c>
      <c r="AD25" s="35">
        <v>0</v>
      </c>
      <c r="AE25" s="35" t="s">
        <v>31</v>
      </c>
      <c r="AF25" s="35" t="s">
        <v>31</v>
      </c>
      <c r="AG25" s="35" t="s">
        <v>31</v>
      </c>
      <c r="AH25" s="35" t="s">
        <v>31</v>
      </c>
    </row>
    <row r="26" spans="2:34" x14ac:dyDescent="0.25">
      <c r="B26" s="35" t="s">
        <v>76</v>
      </c>
      <c r="I26" s="119">
        <v>3.5</v>
      </c>
      <c r="X26" s="35" t="s">
        <v>275</v>
      </c>
      <c r="Y26" s="35" t="s">
        <v>275</v>
      </c>
      <c r="Z26" s="35">
        <v>0</v>
      </c>
      <c r="AA26" s="35" t="s">
        <v>275</v>
      </c>
      <c r="AB26" s="35">
        <v>0</v>
      </c>
      <c r="AC26" s="35">
        <v>0</v>
      </c>
      <c r="AD26" s="35">
        <v>0</v>
      </c>
      <c r="AE26" s="35" t="s">
        <v>32</v>
      </c>
      <c r="AF26" s="35" t="s">
        <v>32</v>
      </c>
      <c r="AG26" s="35" t="s">
        <v>32</v>
      </c>
      <c r="AH26" s="35" t="s">
        <v>32</v>
      </c>
    </row>
    <row r="27" spans="2:34" x14ac:dyDescent="0.25">
      <c r="B27" s="35" t="s">
        <v>77</v>
      </c>
      <c r="I27" s="119">
        <v>7</v>
      </c>
      <c r="X27" s="35" t="s">
        <v>231</v>
      </c>
      <c r="Y27" s="35" t="s">
        <v>231</v>
      </c>
      <c r="Z27" s="35" t="s">
        <v>297</v>
      </c>
      <c r="AA27" s="35" t="s">
        <v>231</v>
      </c>
      <c r="AB27" s="35">
        <v>0</v>
      </c>
      <c r="AC27" s="35">
        <v>0</v>
      </c>
      <c r="AD27" s="35">
        <v>0</v>
      </c>
      <c r="AE27" s="35" t="s">
        <v>33</v>
      </c>
      <c r="AF27" s="35" t="s">
        <v>33</v>
      </c>
      <c r="AG27" s="35" t="s">
        <v>33</v>
      </c>
      <c r="AH27" s="35" t="s">
        <v>33</v>
      </c>
    </row>
    <row r="28" spans="2:34" x14ac:dyDescent="0.25">
      <c r="X28" s="35" t="s">
        <v>232</v>
      </c>
      <c r="Y28" s="35" t="s">
        <v>232</v>
      </c>
      <c r="Z28" s="35" t="s">
        <v>298</v>
      </c>
      <c r="AA28" s="35" t="s">
        <v>232</v>
      </c>
      <c r="AB28" s="35">
        <v>0</v>
      </c>
      <c r="AC28" s="35">
        <v>0</v>
      </c>
      <c r="AE28" s="35" t="s">
        <v>34</v>
      </c>
      <c r="AF28" s="35" t="s">
        <v>34</v>
      </c>
      <c r="AG28" s="35" t="s">
        <v>34</v>
      </c>
      <c r="AH28" s="35" t="s">
        <v>34</v>
      </c>
    </row>
    <row r="29" spans="2:34" x14ac:dyDescent="0.25">
      <c r="X29" s="121" t="s">
        <v>233</v>
      </c>
      <c r="Y29" s="121" t="s">
        <v>233</v>
      </c>
      <c r="AA29" s="35" t="s">
        <v>233</v>
      </c>
      <c r="AB29" s="35">
        <v>0</v>
      </c>
      <c r="AC29" s="35">
        <v>0</v>
      </c>
      <c r="AE29" s="121" t="s">
        <v>88</v>
      </c>
      <c r="AF29" s="122" t="s">
        <v>89</v>
      </c>
      <c r="AG29" s="35" t="s">
        <v>254</v>
      </c>
      <c r="AH29" s="35" t="s">
        <v>254</v>
      </c>
    </row>
    <row r="30" spans="2:34" x14ac:dyDescent="0.25">
      <c r="X30" s="35" t="s">
        <v>234</v>
      </c>
      <c r="Y30" s="35" t="s">
        <v>234</v>
      </c>
      <c r="AA30" s="35" t="s">
        <v>234</v>
      </c>
      <c r="AE30" s="35" t="s">
        <v>40</v>
      </c>
      <c r="AF30" s="35" t="s">
        <v>90</v>
      </c>
      <c r="AG30" s="35" t="s">
        <v>255</v>
      </c>
      <c r="AH30" s="35" t="s">
        <v>255</v>
      </c>
    </row>
    <row r="31" spans="2:34" x14ac:dyDescent="0.25">
      <c r="B31" s="35" t="s">
        <v>69</v>
      </c>
      <c r="I31" s="119">
        <v>18</v>
      </c>
      <c r="X31" s="35" t="s">
        <v>235</v>
      </c>
      <c r="Y31" s="35" t="s">
        <v>235</v>
      </c>
      <c r="AA31" s="35" t="s">
        <v>235</v>
      </c>
      <c r="AE31" s="35" t="s">
        <v>41</v>
      </c>
      <c r="AF31" s="121" t="s">
        <v>88</v>
      </c>
      <c r="AG31" s="35" t="s">
        <v>256</v>
      </c>
      <c r="AH31" s="35" t="s">
        <v>256</v>
      </c>
    </row>
    <row r="32" spans="2:34" x14ac:dyDescent="0.25">
      <c r="B32" s="35" t="s">
        <v>65</v>
      </c>
      <c r="I32" s="119">
        <v>2.9</v>
      </c>
      <c r="X32" s="35" t="s">
        <v>236</v>
      </c>
      <c r="Y32" s="35" t="s">
        <v>236</v>
      </c>
      <c r="AA32" s="35" t="s">
        <v>236</v>
      </c>
      <c r="AE32" s="35" t="s">
        <v>42</v>
      </c>
      <c r="AF32" s="35" t="s">
        <v>40</v>
      </c>
      <c r="AG32" s="35" t="s">
        <v>88</v>
      </c>
      <c r="AH32" s="35" t="s">
        <v>89</v>
      </c>
    </row>
    <row r="33" spans="2:34" x14ac:dyDescent="0.25">
      <c r="I33" s="123"/>
      <c r="X33" s="35" t="s">
        <v>237</v>
      </c>
      <c r="Y33" s="35" t="s">
        <v>237</v>
      </c>
      <c r="AA33" s="35" t="s">
        <v>237</v>
      </c>
      <c r="AE33" s="35" t="s">
        <v>43</v>
      </c>
      <c r="AF33" s="35" t="s">
        <v>41</v>
      </c>
      <c r="AG33" s="121" t="s">
        <v>40</v>
      </c>
      <c r="AH33" s="35" t="s">
        <v>90</v>
      </c>
    </row>
    <row r="34" spans="2:34" x14ac:dyDescent="0.25">
      <c r="I34" s="123"/>
      <c r="X34" s="121" t="s">
        <v>238</v>
      </c>
      <c r="Y34" s="121" t="s">
        <v>238</v>
      </c>
      <c r="AA34" s="35" t="s">
        <v>238</v>
      </c>
      <c r="AE34" s="35" t="s">
        <v>44</v>
      </c>
      <c r="AF34" s="35" t="s">
        <v>42</v>
      </c>
      <c r="AG34" s="121" t="s">
        <v>43</v>
      </c>
      <c r="AH34" s="35" t="s">
        <v>88</v>
      </c>
    </row>
    <row r="35" spans="2:34" x14ac:dyDescent="0.25">
      <c r="B35" s="35" t="s">
        <v>70</v>
      </c>
      <c r="I35" s="119">
        <v>6</v>
      </c>
      <c r="X35" s="35" t="s">
        <v>445</v>
      </c>
      <c r="Y35" s="35" t="s">
        <v>445</v>
      </c>
      <c r="AA35" s="35" t="s">
        <v>445</v>
      </c>
      <c r="AE35" s="35" t="s">
        <v>45</v>
      </c>
      <c r="AF35" s="35" t="s">
        <v>43</v>
      </c>
      <c r="AG35" s="121" t="s">
        <v>44</v>
      </c>
      <c r="AH35" s="121" t="s">
        <v>40</v>
      </c>
    </row>
    <row r="36" spans="2:34" x14ac:dyDescent="0.25">
      <c r="B36" s="35" t="s">
        <v>0</v>
      </c>
      <c r="I36" s="119">
        <v>6</v>
      </c>
      <c r="X36" s="35" t="s">
        <v>239</v>
      </c>
      <c r="Y36" s="35" t="s">
        <v>239</v>
      </c>
      <c r="AA36" s="35" t="s">
        <v>239</v>
      </c>
      <c r="AE36" s="35" t="s">
        <v>46</v>
      </c>
      <c r="AF36" s="35" t="s">
        <v>44</v>
      </c>
      <c r="AG36" s="35" t="s">
        <v>46</v>
      </c>
      <c r="AH36" s="121" t="s">
        <v>43</v>
      </c>
    </row>
    <row r="37" spans="2:34" x14ac:dyDescent="0.25">
      <c r="B37" s="35" t="s">
        <v>1</v>
      </c>
      <c r="I37" s="119">
        <v>6</v>
      </c>
      <c r="X37" s="35" t="s">
        <v>240</v>
      </c>
      <c r="Y37" s="35" t="s">
        <v>240</v>
      </c>
      <c r="AA37" s="35" t="s">
        <v>240</v>
      </c>
      <c r="AE37" s="35" t="s">
        <v>47</v>
      </c>
      <c r="AF37" s="35" t="s">
        <v>45</v>
      </c>
      <c r="AG37" s="35" t="s">
        <v>47</v>
      </c>
      <c r="AH37" s="121" t="s">
        <v>44</v>
      </c>
    </row>
    <row r="38" spans="2:34" x14ac:dyDescent="0.25">
      <c r="B38" s="35" t="s">
        <v>2</v>
      </c>
      <c r="I38" s="119">
        <v>6</v>
      </c>
      <c r="X38" s="35" t="s">
        <v>364</v>
      </c>
      <c r="Y38" s="35" t="s">
        <v>364</v>
      </c>
      <c r="AA38" s="35" t="s">
        <v>364</v>
      </c>
      <c r="AE38" s="35" t="s">
        <v>48</v>
      </c>
      <c r="AF38" s="35" t="s">
        <v>46</v>
      </c>
      <c r="AG38" s="35" t="s">
        <v>48</v>
      </c>
      <c r="AH38" s="35" t="s">
        <v>46</v>
      </c>
    </row>
    <row r="39" spans="2:34" x14ac:dyDescent="0.25">
      <c r="B39" s="35" t="s">
        <v>3</v>
      </c>
      <c r="I39" s="119">
        <v>6</v>
      </c>
      <c r="X39" s="35" t="s">
        <v>241</v>
      </c>
      <c r="Y39" s="35" t="s">
        <v>241</v>
      </c>
      <c r="AA39" s="35" t="s">
        <v>241</v>
      </c>
      <c r="AE39" s="121" t="s">
        <v>87</v>
      </c>
      <c r="AF39" s="35" t="s">
        <v>47</v>
      </c>
      <c r="AG39" s="35" t="s">
        <v>87</v>
      </c>
      <c r="AH39" s="35" t="s">
        <v>47</v>
      </c>
    </row>
    <row r="40" spans="2:34" x14ac:dyDescent="0.25">
      <c r="B40" s="35" t="s">
        <v>4</v>
      </c>
      <c r="I40" s="119">
        <v>6</v>
      </c>
      <c r="X40" s="35" t="s">
        <v>242</v>
      </c>
      <c r="Y40" s="35" t="s">
        <v>242</v>
      </c>
      <c r="AA40" s="35" t="s">
        <v>242</v>
      </c>
      <c r="AE40" s="35" t="s">
        <v>36</v>
      </c>
      <c r="AF40" s="35" t="s">
        <v>48</v>
      </c>
      <c r="AG40" s="35" t="s">
        <v>36</v>
      </c>
      <c r="AH40" s="35" t="s">
        <v>48</v>
      </c>
    </row>
    <row r="41" spans="2:34" x14ac:dyDescent="0.25">
      <c r="B41" s="35" t="s">
        <v>5</v>
      </c>
      <c r="I41" s="119">
        <v>6</v>
      </c>
      <c r="X41" s="35" t="s">
        <v>243</v>
      </c>
      <c r="Y41" s="35" t="s">
        <v>243</v>
      </c>
      <c r="AA41" s="35" t="s">
        <v>243</v>
      </c>
      <c r="AE41" s="35" t="s">
        <v>37</v>
      </c>
      <c r="AF41" s="121" t="s">
        <v>87</v>
      </c>
      <c r="AG41" s="35" t="s">
        <v>37</v>
      </c>
      <c r="AH41" s="35" t="s">
        <v>87</v>
      </c>
    </row>
    <row r="42" spans="2:34" x14ac:dyDescent="0.25">
      <c r="B42" s="35" t="s">
        <v>6</v>
      </c>
      <c r="I42" s="119">
        <v>6</v>
      </c>
      <c r="X42" s="35" t="s">
        <v>244</v>
      </c>
      <c r="Y42" s="35" t="s">
        <v>244</v>
      </c>
      <c r="AA42" s="35" t="s">
        <v>244</v>
      </c>
      <c r="AE42" s="35" t="s">
        <v>38</v>
      </c>
      <c r="AF42" s="35" t="s">
        <v>36</v>
      </c>
      <c r="AG42" s="35" t="s">
        <v>38</v>
      </c>
      <c r="AH42" s="35" t="s">
        <v>36</v>
      </c>
    </row>
    <row r="43" spans="2:34" x14ac:dyDescent="0.25">
      <c r="B43" s="35" t="s">
        <v>7</v>
      </c>
      <c r="I43" s="119">
        <v>6</v>
      </c>
      <c r="X43" s="35" t="s">
        <v>245</v>
      </c>
      <c r="Y43" s="35" t="s">
        <v>245</v>
      </c>
      <c r="AA43" s="35" t="s">
        <v>245</v>
      </c>
      <c r="AE43" s="35" t="s">
        <v>39</v>
      </c>
      <c r="AF43" s="35" t="s">
        <v>37</v>
      </c>
      <c r="AG43" s="35" t="s">
        <v>39</v>
      </c>
      <c r="AH43" s="35" t="s">
        <v>37</v>
      </c>
    </row>
    <row r="44" spans="2:34" x14ac:dyDescent="0.25">
      <c r="I44" s="123"/>
      <c r="X44" s="35" t="s">
        <v>246</v>
      </c>
      <c r="Y44" s="35" t="s">
        <v>246</v>
      </c>
      <c r="AA44" s="35" t="s">
        <v>246</v>
      </c>
      <c r="AF44" s="35" t="s">
        <v>38</v>
      </c>
      <c r="AH44" s="35" t="s">
        <v>38</v>
      </c>
    </row>
    <row r="45" spans="2:34" x14ac:dyDescent="0.25">
      <c r="I45" s="123"/>
      <c r="AF45" s="35" t="s">
        <v>39</v>
      </c>
      <c r="AH45" s="35" t="s">
        <v>39</v>
      </c>
    </row>
    <row r="46" spans="2:34" x14ac:dyDescent="0.25">
      <c r="B46" s="35" t="s">
        <v>8</v>
      </c>
      <c r="I46" s="119">
        <v>1.6</v>
      </c>
      <c r="X46" s="121" t="s">
        <v>247</v>
      </c>
    </row>
    <row r="47" spans="2:34" x14ac:dyDescent="0.25">
      <c r="B47" s="35" t="s">
        <v>9</v>
      </c>
      <c r="I47" s="119">
        <v>1.6</v>
      </c>
      <c r="X47" s="107"/>
    </row>
    <row r="48" spans="2:34" x14ac:dyDescent="0.25">
      <c r="B48" s="35" t="s">
        <v>10</v>
      </c>
      <c r="I48" s="119">
        <v>0</v>
      </c>
    </row>
    <row r="49" spans="2:25" x14ac:dyDescent="0.25">
      <c r="B49" s="35" t="s">
        <v>11</v>
      </c>
      <c r="I49" s="119">
        <v>1.6</v>
      </c>
      <c r="X49" s="35" t="s">
        <v>365</v>
      </c>
      <c r="Y49" s="35">
        <v>0</v>
      </c>
    </row>
    <row r="50" spans="2:25" x14ac:dyDescent="0.25">
      <c r="B50" s="35" t="s">
        <v>12</v>
      </c>
      <c r="I50" s="119">
        <v>1.6</v>
      </c>
      <c r="X50" s="35" t="s">
        <v>368</v>
      </c>
      <c r="Y50" s="35" t="s">
        <v>368</v>
      </c>
    </row>
    <row r="51" spans="2:25" x14ac:dyDescent="0.25">
      <c r="B51" s="35" t="s">
        <v>13</v>
      </c>
      <c r="I51" s="119" t="s">
        <v>299</v>
      </c>
      <c r="X51" s="35" t="s">
        <v>369</v>
      </c>
      <c r="Y51" s="35" t="s">
        <v>369</v>
      </c>
    </row>
    <row r="52" spans="2:25" x14ac:dyDescent="0.25">
      <c r="X52" s="35" t="s">
        <v>311</v>
      </c>
      <c r="Y52" s="35" t="s">
        <v>311</v>
      </c>
    </row>
    <row r="53" spans="2:25" x14ac:dyDescent="0.25">
      <c r="B53" s="117" t="s">
        <v>276</v>
      </c>
      <c r="I53" s="119">
        <v>6</v>
      </c>
      <c r="X53" s="35" t="s">
        <v>312</v>
      </c>
      <c r="Y53" s="35" t="s">
        <v>312</v>
      </c>
    </row>
    <row r="54" spans="2:25" x14ac:dyDescent="0.25">
      <c r="X54" s="35" t="s">
        <v>366</v>
      </c>
      <c r="Y54" s="35" t="s">
        <v>366</v>
      </c>
    </row>
    <row r="55" spans="2:25" x14ac:dyDescent="0.25">
      <c r="X55" s="35" t="s">
        <v>367</v>
      </c>
      <c r="Y55" s="35" t="s">
        <v>367</v>
      </c>
    </row>
    <row r="56" spans="2:25" x14ac:dyDescent="0.25">
      <c r="X56" s="35" t="s">
        <v>304</v>
      </c>
      <c r="Y56" s="35" t="s">
        <v>304</v>
      </c>
    </row>
    <row r="57" spans="2:25" x14ac:dyDescent="0.25">
      <c r="X57" s="35" t="s">
        <v>305</v>
      </c>
      <c r="Y57" s="35" t="s">
        <v>305</v>
      </c>
    </row>
    <row r="58" spans="2:25" x14ac:dyDescent="0.25">
      <c r="D58" s="35" t="s">
        <v>103</v>
      </c>
      <c r="X58" s="35" t="s">
        <v>306</v>
      </c>
      <c r="Y58" s="35" t="s">
        <v>306</v>
      </c>
    </row>
    <row r="59" spans="2:25" x14ac:dyDescent="0.25">
      <c r="B59" s="35" t="s">
        <v>56</v>
      </c>
      <c r="D59" s="35" t="s">
        <v>54</v>
      </c>
      <c r="G59" s="35" t="s">
        <v>14</v>
      </c>
      <c r="H59" s="124">
        <v>4.5</v>
      </c>
      <c r="X59" s="35" t="s">
        <v>340</v>
      </c>
      <c r="Y59" s="35" t="s">
        <v>340</v>
      </c>
    </row>
    <row r="60" spans="2:25" x14ac:dyDescent="0.25">
      <c r="D60" s="35" t="s">
        <v>57</v>
      </c>
      <c r="G60" s="35" t="s">
        <v>14</v>
      </c>
      <c r="H60" s="124">
        <v>4.2</v>
      </c>
      <c r="X60" s="35" t="s">
        <v>307</v>
      </c>
      <c r="Y60" s="35" t="s">
        <v>307</v>
      </c>
    </row>
    <row r="61" spans="2:25" x14ac:dyDescent="0.25">
      <c r="D61" s="35" t="s">
        <v>53</v>
      </c>
      <c r="G61" s="35" t="s">
        <v>14</v>
      </c>
      <c r="H61" s="124">
        <v>2.5</v>
      </c>
      <c r="X61" s="35" t="s">
        <v>308</v>
      </c>
      <c r="Y61" s="35" t="s">
        <v>308</v>
      </c>
    </row>
    <row r="62" spans="2:25" x14ac:dyDescent="0.25">
      <c r="D62" s="35" t="s">
        <v>58</v>
      </c>
      <c r="G62" s="35" t="s">
        <v>14</v>
      </c>
      <c r="H62" s="124">
        <v>2.5</v>
      </c>
      <c r="X62" s="35" t="s">
        <v>309</v>
      </c>
      <c r="Y62" s="35" t="s">
        <v>309</v>
      </c>
    </row>
    <row r="63" spans="2:25" x14ac:dyDescent="0.25">
      <c r="D63" s="35" t="s">
        <v>59</v>
      </c>
      <c r="G63" s="35" t="s">
        <v>14</v>
      </c>
      <c r="H63" s="124">
        <v>2.5</v>
      </c>
      <c r="X63" s="35" t="s">
        <v>310</v>
      </c>
      <c r="Y63" s="35" t="s">
        <v>310</v>
      </c>
    </row>
    <row r="64" spans="2:25" x14ac:dyDescent="0.25">
      <c r="D64" s="35" t="s">
        <v>60</v>
      </c>
      <c r="G64" s="35" t="s">
        <v>14</v>
      </c>
      <c r="H64" s="124">
        <v>2.5</v>
      </c>
      <c r="X64" s="35" t="s">
        <v>344</v>
      </c>
      <c r="Y64" s="35" t="s">
        <v>344</v>
      </c>
    </row>
    <row r="65" spans="2:35" x14ac:dyDescent="0.25">
      <c r="B65" s="35" t="s">
        <v>52</v>
      </c>
      <c r="D65" s="35" t="s">
        <v>61</v>
      </c>
      <c r="G65" s="35" t="s">
        <v>14</v>
      </c>
      <c r="H65" s="124">
        <v>2.5</v>
      </c>
      <c r="X65" s="35" t="s">
        <v>372</v>
      </c>
      <c r="Y65" s="35" t="s">
        <v>372</v>
      </c>
    </row>
    <row r="66" spans="2:35" x14ac:dyDescent="0.25">
      <c r="D66" s="35" t="s">
        <v>62</v>
      </c>
      <c r="G66" s="35" t="s">
        <v>14</v>
      </c>
      <c r="H66" s="124">
        <v>2.5</v>
      </c>
      <c r="X66" s="35" t="s">
        <v>373</v>
      </c>
      <c r="Y66" s="35" t="s">
        <v>373</v>
      </c>
    </row>
    <row r="67" spans="2:35" x14ac:dyDescent="0.25">
      <c r="D67" s="35" t="s">
        <v>55</v>
      </c>
      <c r="G67" s="35" t="s">
        <v>14</v>
      </c>
      <c r="H67" s="124">
        <v>2.5</v>
      </c>
      <c r="X67" s="35" t="s">
        <v>320</v>
      </c>
      <c r="Y67" s="35" t="s">
        <v>320</v>
      </c>
    </row>
    <row r="68" spans="2:35" x14ac:dyDescent="0.25">
      <c r="D68" s="35" t="s">
        <v>63</v>
      </c>
      <c r="G68" s="35" t="s">
        <v>14</v>
      </c>
      <c r="H68" s="124">
        <v>2.5</v>
      </c>
      <c r="L68" s="35" t="s">
        <v>418</v>
      </c>
      <c r="M68" s="35">
        <v>3</v>
      </c>
      <c r="X68" s="35" t="s">
        <v>321</v>
      </c>
      <c r="Y68" s="35" t="s">
        <v>321</v>
      </c>
    </row>
    <row r="69" spans="2:35" x14ac:dyDescent="0.25">
      <c r="D69" s="35" t="s">
        <v>64</v>
      </c>
      <c r="G69" s="35" t="s">
        <v>14</v>
      </c>
      <c r="H69" s="124">
        <v>2.5</v>
      </c>
      <c r="L69" s="35" t="s">
        <v>419</v>
      </c>
      <c r="M69" s="35">
        <v>6</v>
      </c>
      <c r="X69" s="35" t="s">
        <v>322</v>
      </c>
      <c r="Y69" s="35" t="s">
        <v>322</v>
      </c>
    </row>
    <row r="70" spans="2:35" x14ac:dyDescent="0.25">
      <c r="L70" s="35" t="s">
        <v>420</v>
      </c>
      <c r="M70" s="35">
        <v>9</v>
      </c>
      <c r="X70" s="35" t="s">
        <v>323</v>
      </c>
      <c r="Y70" s="35" t="s">
        <v>323</v>
      </c>
    </row>
    <row r="71" spans="2:35" x14ac:dyDescent="0.25">
      <c r="X71" s="35" t="s">
        <v>324</v>
      </c>
      <c r="Y71" s="35" t="s">
        <v>324</v>
      </c>
    </row>
    <row r="72" spans="2:35" x14ac:dyDescent="0.25">
      <c r="C72" s="35" t="s">
        <v>277</v>
      </c>
      <c r="L72" s="35" t="s">
        <v>267</v>
      </c>
      <c r="N72" s="124">
        <v>2</v>
      </c>
      <c r="P72" s="117" t="s">
        <v>348</v>
      </c>
      <c r="X72" s="35" t="s">
        <v>370</v>
      </c>
      <c r="Y72" s="35" t="s">
        <v>370</v>
      </c>
    </row>
    <row r="73" spans="2:35" x14ac:dyDescent="0.25">
      <c r="C73" s="35" t="s">
        <v>15</v>
      </c>
      <c r="X73" s="35" t="s">
        <v>371</v>
      </c>
      <c r="Y73" s="35" t="s">
        <v>371</v>
      </c>
    </row>
    <row r="74" spans="2:35" x14ac:dyDescent="0.25">
      <c r="C74" s="35" t="s">
        <v>79</v>
      </c>
      <c r="L74" s="121" t="s">
        <v>356</v>
      </c>
      <c r="P74" s="121" t="s">
        <v>357</v>
      </c>
      <c r="X74" s="35" t="s">
        <v>313</v>
      </c>
      <c r="Y74" s="35" t="s">
        <v>313</v>
      </c>
    </row>
    <row r="75" spans="2:35" x14ac:dyDescent="0.25">
      <c r="C75" s="35" t="s">
        <v>16</v>
      </c>
      <c r="X75" s="35" t="s">
        <v>314</v>
      </c>
      <c r="Y75" s="35" t="s">
        <v>314</v>
      </c>
    </row>
    <row r="76" spans="2:35" x14ac:dyDescent="0.25">
      <c r="C76" s="35" t="s">
        <v>17</v>
      </c>
      <c r="L76" s="107" t="s">
        <v>278</v>
      </c>
      <c r="N76" s="124">
        <v>1.5</v>
      </c>
      <c r="P76" s="125" t="s">
        <v>349</v>
      </c>
      <c r="Q76" s="124">
        <v>10.4</v>
      </c>
      <c r="X76" s="35" t="s">
        <v>315</v>
      </c>
      <c r="Y76" s="35" t="s">
        <v>315</v>
      </c>
      <c r="AD76" s="35" t="s">
        <v>387</v>
      </c>
      <c r="AI76" s="35">
        <v>0</v>
      </c>
    </row>
    <row r="77" spans="2:35" x14ac:dyDescent="0.25">
      <c r="C77" s="35" t="s">
        <v>18</v>
      </c>
      <c r="L77" s="107" t="s">
        <v>279</v>
      </c>
      <c r="N77" s="124">
        <v>2</v>
      </c>
      <c r="P77" s="125" t="s">
        <v>350</v>
      </c>
      <c r="Q77" s="124">
        <v>8</v>
      </c>
      <c r="R77" s="117"/>
      <c r="X77" s="35" t="s">
        <v>316</v>
      </c>
      <c r="Y77" s="35" t="s">
        <v>316</v>
      </c>
      <c r="AD77" s="35" t="s">
        <v>388</v>
      </c>
      <c r="AI77" s="35">
        <v>6</v>
      </c>
    </row>
    <row r="78" spans="2:35" x14ac:dyDescent="0.25">
      <c r="C78" s="35" t="s">
        <v>19</v>
      </c>
      <c r="L78" s="107" t="s">
        <v>280</v>
      </c>
      <c r="N78" s="124">
        <v>3</v>
      </c>
      <c r="P78" s="125" t="s">
        <v>351</v>
      </c>
      <c r="Q78" s="124">
        <v>10.4</v>
      </c>
      <c r="R78" s="117"/>
      <c r="X78" s="35" t="s">
        <v>317</v>
      </c>
      <c r="Y78" s="35" t="s">
        <v>317</v>
      </c>
      <c r="AD78" s="35" t="s">
        <v>389</v>
      </c>
      <c r="AI78" s="35">
        <v>4</v>
      </c>
    </row>
    <row r="79" spans="2:35" x14ac:dyDescent="0.25">
      <c r="C79" s="35" t="s">
        <v>20</v>
      </c>
      <c r="L79" s="125" t="s">
        <v>281</v>
      </c>
      <c r="N79" s="124">
        <v>13</v>
      </c>
      <c r="P79" s="125" t="s">
        <v>352</v>
      </c>
      <c r="Q79" s="124">
        <v>10.4</v>
      </c>
      <c r="R79" s="117"/>
      <c r="X79" s="35" t="s">
        <v>318</v>
      </c>
      <c r="Y79" s="35" t="s">
        <v>318</v>
      </c>
      <c r="AD79" s="35" t="s">
        <v>390</v>
      </c>
      <c r="AI79" s="35">
        <v>4</v>
      </c>
    </row>
    <row r="80" spans="2:35" x14ac:dyDescent="0.25">
      <c r="C80" s="35" t="s">
        <v>21</v>
      </c>
      <c r="K80" s="35">
        <v>1</v>
      </c>
      <c r="L80" s="125" t="s">
        <v>282</v>
      </c>
      <c r="M80" s="117" t="s">
        <v>416</v>
      </c>
      <c r="N80" s="124">
        <v>16</v>
      </c>
      <c r="O80" s="126">
        <v>3</v>
      </c>
      <c r="P80" s="125" t="s">
        <v>353</v>
      </c>
      <c r="Q80" s="124">
        <v>8</v>
      </c>
      <c r="R80" s="117"/>
      <c r="T80" s="117"/>
      <c r="V80" s="117"/>
      <c r="X80" s="35" t="s">
        <v>319</v>
      </c>
      <c r="Y80" s="35" t="s">
        <v>319</v>
      </c>
      <c r="Z80" s="117"/>
      <c r="AA80" s="117"/>
      <c r="AB80" s="117"/>
      <c r="AD80" s="35" t="s">
        <v>391</v>
      </c>
      <c r="AI80" s="35">
        <v>4</v>
      </c>
    </row>
    <row r="81" spans="1:35" x14ac:dyDescent="0.25">
      <c r="C81" s="35" t="s">
        <v>22</v>
      </c>
      <c r="K81" s="35">
        <v>2</v>
      </c>
      <c r="L81" s="125" t="s">
        <v>283</v>
      </c>
      <c r="M81" s="117" t="s">
        <v>416</v>
      </c>
      <c r="N81" s="124">
        <v>16</v>
      </c>
      <c r="O81" s="126">
        <v>3</v>
      </c>
      <c r="P81" s="125" t="s">
        <v>354</v>
      </c>
      <c r="Q81" s="124">
        <v>8</v>
      </c>
      <c r="R81" s="117"/>
      <c r="X81" s="35" t="s">
        <v>22</v>
      </c>
      <c r="Y81" s="35" t="s">
        <v>22</v>
      </c>
      <c r="AD81" s="35" t="s">
        <v>392</v>
      </c>
      <c r="AI81" s="35">
        <v>4</v>
      </c>
    </row>
    <row r="82" spans="1:35" x14ac:dyDescent="0.25">
      <c r="C82" s="35" t="s">
        <v>23</v>
      </c>
      <c r="K82" s="35">
        <v>3</v>
      </c>
      <c r="L82" s="125" t="s">
        <v>284</v>
      </c>
      <c r="M82" s="117" t="s">
        <v>416</v>
      </c>
      <c r="N82" s="124">
        <v>16</v>
      </c>
      <c r="O82" s="126">
        <v>3</v>
      </c>
      <c r="P82" s="125" t="s">
        <v>355</v>
      </c>
      <c r="Q82" s="124">
        <v>8</v>
      </c>
      <c r="R82" s="117"/>
      <c r="X82" s="35" t="s">
        <v>338</v>
      </c>
      <c r="Y82" s="35" t="s">
        <v>338</v>
      </c>
      <c r="AD82" s="35" t="s">
        <v>393</v>
      </c>
      <c r="AI82" s="35">
        <v>6</v>
      </c>
    </row>
    <row r="83" spans="1:35" x14ac:dyDescent="0.25">
      <c r="C83" s="35" t="s">
        <v>24</v>
      </c>
      <c r="K83" s="35">
        <v>4</v>
      </c>
      <c r="L83" s="125" t="s">
        <v>285</v>
      </c>
      <c r="M83" s="117" t="s">
        <v>416</v>
      </c>
      <c r="N83" s="124">
        <v>16</v>
      </c>
      <c r="O83" s="126">
        <v>3</v>
      </c>
      <c r="P83" s="125"/>
      <c r="X83" s="35" t="s">
        <v>345</v>
      </c>
      <c r="Y83" s="35" t="s">
        <v>345</v>
      </c>
      <c r="AD83" s="35" t="s">
        <v>394</v>
      </c>
      <c r="AI83" s="35">
        <v>6</v>
      </c>
    </row>
    <row r="84" spans="1:35" x14ac:dyDescent="0.25">
      <c r="C84" s="35" t="s">
        <v>25</v>
      </c>
      <c r="K84" s="35">
        <v>5</v>
      </c>
      <c r="L84" s="125" t="s">
        <v>286</v>
      </c>
      <c r="M84" s="117" t="s">
        <v>416</v>
      </c>
      <c r="N84" s="124">
        <v>16</v>
      </c>
      <c r="O84" s="126">
        <v>3</v>
      </c>
      <c r="P84" s="117"/>
      <c r="X84" s="35" t="s">
        <v>374</v>
      </c>
      <c r="Y84" s="35" t="s">
        <v>374</v>
      </c>
      <c r="AD84" s="35" t="s">
        <v>395</v>
      </c>
      <c r="AI84" s="35">
        <v>6</v>
      </c>
    </row>
    <row r="85" spans="1:35" x14ac:dyDescent="0.25">
      <c r="C85" s="35" t="s">
        <v>26</v>
      </c>
      <c r="L85" s="125" t="s">
        <v>358</v>
      </c>
      <c r="M85" s="117" t="s">
        <v>416</v>
      </c>
      <c r="N85" s="124">
        <v>16</v>
      </c>
      <c r="O85" s="126">
        <v>3</v>
      </c>
      <c r="P85" s="117"/>
      <c r="Q85" s="117"/>
      <c r="X85" s="35" t="s">
        <v>446</v>
      </c>
      <c r="Y85" s="35" t="s">
        <v>446</v>
      </c>
      <c r="AD85" s="35" t="s">
        <v>396</v>
      </c>
      <c r="AI85" s="35">
        <v>6</v>
      </c>
    </row>
    <row r="86" spans="1:35" x14ac:dyDescent="0.25">
      <c r="K86" s="127"/>
      <c r="L86" s="125" t="s">
        <v>359</v>
      </c>
      <c r="M86" s="117" t="s">
        <v>417</v>
      </c>
      <c r="N86" s="127">
        <v>19</v>
      </c>
      <c r="O86" s="126">
        <v>6</v>
      </c>
      <c r="X86" s="35" t="s">
        <v>375</v>
      </c>
      <c r="Y86" s="35" t="s">
        <v>375</v>
      </c>
      <c r="AD86" s="35" t="s">
        <v>397</v>
      </c>
      <c r="AI86" s="35">
        <v>4</v>
      </c>
    </row>
    <row r="87" spans="1:35" x14ac:dyDescent="0.25">
      <c r="B87" s="35" t="s">
        <v>103</v>
      </c>
      <c r="K87" s="127"/>
      <c r="L87" s="125" t="s">
        <v>360</v>
      </c>
      <c r="M87" s="117" t="s">
        <v>417</v>
      </c>
      <c r="N87" s="127">
        <v>19</v>
      </c>
      <c r="O87" s="126">
        <v>6</v>
      </c>
      <c r="X87" s="35" t="s">
        <v>376</v>
      </c>
      <c r="Y87" s="35" t="s">
        <v>376</v>
      </c>
      <c r="AD87" s="35" t="s">
        <v>398</v>
      </c>
      <c r="AI87" s="35">
        <v>4</v>
      </c>
    </row>
    <row r="88" spans="1:35" x14ac:dyDescent="0.25">
      <c r="B88" s="35" t="s">
        <v>107</v>
      </c>
      <c r="K88" s="127"/>
      <c r="L88" s="125" t="s">
        <v>361</v>
      </c>
      <c r="M88" s="117" t="s">
        <v>417</v>
      </c>
      <c r="N88" s="127">
        <v>19</v>
      </c>
      <c r="O88" s="126">
        <v>6</v>
      </c>
      <c r="X88" s="35" t="s">
        <v>377</v>
      </c>
      <c r="Y88" s="35" t="s">
        <v>377</v>
      </c>
      <c r="AD88" s="35" t="s">
        <v>399</v>
      </c>
      <c r="AI88" s="35">
        <v>6</v>
      </c>
    </row>
    <row r="89" spans="1:35" x14ac:dyDescent="0.25">
      <c r="B89" s="35" t="s">
        <v>108</v>
      </c>
      <c r="K89" s="127"/>
      <c r="L89" s="125" t="s">
        <v>362</v>
      </c>
      <c r="M89" s="117" t="s">
        <v>421</v>
      </c>
      <c r="N89" s="127">
        <v>22</v>
      </c>
      <c r="O89" s="126">
        <v>9</v>
      </c>
      <c r="X89" s="35" t="s">
        <v>378</v>
      </c>
      <c r="Y89" s="35" t="s">
        <v>378</v>
      </c>
      <c r="AD89" s="35" t="s">
        <v>400</v>
      </c>
      <c r="AI89" s="35">
        <v>4</v>
      </c>
    </row>
    <row r="90" spans="1:35" x14ac:dyDescent="0.25">
      <c r="L90" s="117"/>
      <c r="X90" s="35" t="s">
        <v>379</v>
      </c>
      <c r="Y90" s="35" t="s">
        <v>379</v>
      </c>
      <c r="AD90" s="35" t="s">
        <v>401</v>
      </c>
      <c r="AI90" s="35">
        <v>11</v>
      </c>
    </row>
    <row r="91" spans="1:35" ht="15.75" x14ac:dyDescent="0.25">
      <c r="A91" s="108" t="s">
        <v>132</v>
      </c>
      <c r="B91" s="108"/>
      <c r="C91" s="108"/>
      <c r="D91" s="108"/>
      <c r="E91" s="108"/>
      <c r="F91" s="108"/>
      <c r="G91" s="108"/>
      <c r="H91" s="117"/>
      <c r="I91" s="117"/>
      <c r="L91" s="117"/>
      <c r="M91" s="117"/>
      <c r="N91" s="117"/>
      <c r="P91" s="35" t="s">
        <v>116</v>
      </c>
      <c r="X91" s="35" t="s">
        <v>380</v>
      </c>
      <c r="Y91" s="35" t="s">
        <v>380</v>
      </c>
      <c r="AD91" s="35" t="s">
        <v>402</v>
      </c>
      <c r="AI91" s="35">
        <v>14.5</v>
      </c>
    </row>
    <row r="92" spans="1:35" ht="15.75" x14ac:dyDescent="0.25">
      <c r="A92" s="108" t="s">
        <v>133</v>
      </c>
      <c r="B92" s="108"/>
      <c r="C92" s="108"/>
      <c r="D92" s="108"/>
      <c r="E92" s="108"/>
      <c r="F92" s="108"/>
      <c r="G92" s="108"/>
      <c r="H92" s="117"/>
      <c r="I92" s="117"/>
      <c r="P92" s="35" t="s">
        <v>117</v>
      </c>
      <c r="X92" s="35" t="s">
        <v>381</v>
      </c>
      <c r="Y92" s="35" t="s">
        <v>381</v>
      </c>
      <c r="AD92" s="35" t="s">
        <v>403</v>
      </c>
      <c r="AI92" s="35">
        <v>18</v>
      </c>
    </row>
    <row r="93" spans="1:35" ht="15.75" x14ac:dyDescent="0.25">
      <c r="A93" s="108" t="s">
        <v>134</v>
      </c>
      <c r="C93" s="108"/>
      <c r="D93" s="108"/>
      <c r="E93" s="108"/>
      <c r="F93" s="108"/>
      <c r="G93" s="108"/>
      <c r="H93" s="117"/>
      <c r="I93" s="117"/>
      <c r="L93" s="117"/>
      <c r="M93" s="117"/>
      <c r="N93" s="117"/>
      <c r="O93" s="128">
        <v>18.2</v>
      </c>
      <c r="P93" s="128">
        <v>18.2</v>
      </c>
      <c r="Q93" s="35" t="s">
        <v>118</v>
      </c>
      <c r="X93" s="35" t="s">
        <v>382</v>
      </c>
      <c r="Y93" s="35" t="s">
        <v>382</v>
      </c>
    </row>
    <row r="94" spans="1:35" ht="15.75" x14ac:dyDescent="0.25">
      <c r="A94" s="108" t="s">
        <v>119</v>
      </c>
      <c r="B94" s="108"/>
      <c r="C94" s="108"/>
      <c r="D94" s="108"/>
      <c r="E94" s="108"/>
      <c r="F94" s="108"/>
      <c r="G94" s="108"/>
      <c r="H94" s="117"/>
      <c r="I94" s="117"/>
      <c r="L94" s="117"/>
      <c r="M94" s="117"/>
      <c r="N94" s="117"/>
      <c r="P94" s="128">
        <v>33.799999999999997</v>
      </c>
      <c r="X94" s="35" t="s">
        <v>383</v>
      </c>
      <c r="Y94" s="35" t="s">
        <v>383</v>
      </c>
    </row>
    <row r="95" spans="1:35" ht="15.75" x14ac:dyDescent="0.25">
      <c r="A95" s="108" t="s">
        <v>120</v>
      </c>
      <c r="B95" s="108"/>
      <c r="C95" s="108"/>
      <c r="D95" s="108"/>
      <c r="E95" s="108"/>
      <c r="F95" s="108"/>
      <c r="G95" s="108"/>
      <c r="L95" s="117"/>
      <c r="M95" s="117"/>
      <c r="N95" s="117"/>
      <c r="P95" s="129"/>
      <c r="X95" s="35" t="s">
        <v>384</v>
      </c>
      <c r="Y95" s="35" t="s">
        <v>384</v>
      </c>
    </row>
    <row r="96" spans="1:35" ht="15.75" x14ac:dyDescent="0.25">
      <c r="A96" s="108"/>
      <c r="B96" s="108"/>
      <c r="C96" s="108"/>
      <c r="D96" s="108"/>
      <c r="E96" s="108"/>
      <c r="F96" s="108"/>
      <c r="G96" s="108"/>
      <c r="L96" s="117"/>
      <c r="M96" s="117"/>
      <c r="N96" s="117"/>
      <c r="P96" s="129"/>
      <c r="X96" s="35" t="s">
        <v>385</v>
      </c>
      <c r="Y96" s="35" t="s">
        <v>385</v>
      </c>
    </row>
    <row r="97" spans="1:25" ht="15.75" x14ac:dyDescent="0.25">
      <c r="A97" s="108" t="s">
        <v>287</v>
      </c>
      <c r="C97" s="108"/>
      <c r="D97" s="108"/>
      <c r="E97" s="108"/>
      <c r="F97" s="108"/>
      <c r="G97" s="108"/>
      <c r="L97" s="117"/>
      <c r="M97" s="117"/>
      <c r="N97" s="117"/>
      <c r="P97" s="128" t="s">
        <v>212</v>
      </c>
      <c r="X97" s="35" t="s">
        <v>386</v>
      </c>
      <c r="Y97" s="35" t="s">
        <v>386</v>
      </c>
    </row>
    <row r="98" spans="1:25" ht="15.75" x14ac:dyDescent="0.25">
      <c r="A98" s="108" t="s">
        <v>288</v>
      </c>
      <c r="B98" s="108"/>
      <c r="C98" s="108"/>
      <c r="D98" s="108"/>
      <c r="E98" s="108"/>
      <c r="F98" s="108"/>
      <c r="G98" s="108"/>
      <c r="L98" s="117"/>
      <c r="M98" s="117"/>
      <c r="N98" s="117"/>
      <c r="X98" s="35">
        <v>0</v>
      </c>
      <c r="Y98" s="35">
        <v>0</v>
      </c>
    </row>
    <row r="99" spans="1:25" ht="15.75" x14ac:dyDescent="0.25">
      <c r="A99" s="108"/>
      <c r="B99" s="108"/>
      <c r="C99" s="108"/>
      <c r="D99" s="108"/>
      <c r="E99" s="108"/>
      <c r="F99" s="108"/>
      <c r="G99" s="108"/>
      <c r="L99" s="117"/>
      <c r="M99" s="117"/>
      <c r="N99" s="117"/>
      <c r="X99" s="35">
        <v>0</v>
      </c>
      <c r="Y99" s="35">
        <v>0</v>
      </c>
    </row>
    <row r="100" spans="1:25" ht="15.75" x14ac:dyDescent="0.25">
      <c r="B100" s="108"/>
      <c r="C100" s="108"/>
      <c r="D100" s="108"/>
      <c r="E100" s="108"/>
      <c r="F100" s="108"/>
      <c r="G100" s="108"/>
      <c r="L100" s="117"/>
      <c r="M100" s="117"/>
      <c r="N100" s="117"/>
      <c r="X100" s="35">
        <v>0</v>
      </c>
      <c r="Y100" s="35">
        <v>0</v>
      </c>
    </row>
    <row r="101" spans="1:25" ht="15.75" x14ac:dyDescent="0.25">
      <c r="A101" s="108" t="s">
        <v>121</v>
      </c>
      <c r="X101" s="35">
        <v>0</v>
      </c>
      <c r="Y101" s="35">
        <v>0</v>
      </c>
    </row>
    <row r="102" spans="1:25" x14ac:dyDescent="0.25">
      <c r="Y102" s="35">
        <v>0</v>
      </c>
    </row>
    <row r="103" spans="1:25" ht="15.75" x14ac:dyDescent="0.25">
      <c r="A103" s="130" t="s">
        <v>122</v>
      </c>
      <c r="B103" s="108"/>
    </row>
    <row r="104" spans="1:25" ht="15.75" x14ac:dyDescent="0.25">
      <c r="A104" s="108"/>
      <c r="B104" s="108"/>
    </row>
    <row r="105" spans="1:25" ht="15.75" x14ac:dyDescent="0.25">
      <c r="A105" s="108" t="s">
        <v>123</v>
      </c>
      <c r="B105" s="108"/>
    </row>
    <row r="106" spans="1:25" ht="15.75" x14ac:dyDescent="0.25">
      <c r="A106" s="108" t="s">
        <v>124</v>
      </c>
      <c r="B106" s="108"/>
    </row>
    <row r="107" spans="1:25" ht="15.75" x14ac:dyDescent="0.25">
      <c r="A107" s="108" t="s">
        <v>125</v>
      </c>
      <c r="B107" s="108"/>
    </row>
    <row r="108" spans="1:25" ht="15.75" x14ac:dyDescent="0.25">
      <c r="A108" s="108"/>
      <c r="B108" s="108"/>
    </row>
    <row r="109" spans="1:25" ht="15.75" x14ac:dyDescent="0.25">
      <c r="A109" s="108"/>
      <c r="B109" s="108"/>
    </row>
    <row r="110" spans="1:25" ht="15.75" x14ac:dyDescent="0.25">
      <c r="A110" s="108"/>
      <c r="B110" s="108"/>
    </row>
    <row r="111" spans="1:25" ht="15.75" x14ac:dyDescent="0.25">
      <c r="A111" s="108"/>
      <c r="B111" s="108"/>
    </row>
    <row r="112" spans="1:25" ht="15.75" x14ac:dyDescent="0.25">
      <c r="A112" s="130" t="s">
        <v>126</v>
      </c>
      <c r="B112" s="108"/>
    </row>
    <row r="113" spans="1:2" ht="15.75" x14ac:dyDescent="0.25">
      <c r="A113" s="108"/>
      <c r="B113" s="108"/>
    </row>
    <row r="114" spans="1:2" ht="15.75" x14ac:dyDescent="0.25">
      <c r="A114" s="108" t="s">
        <v>127</v>
      </c>
      <c r="B114" s="108"/>
    </row>
    <row r="115" spans="1:2" ht="15.75" x14ac:dyDescent="0.25">
      <c r="A115" s="108" t="s">
        <v>128</v>
      </c>
      <c r="B115" s="108"/>
    </row>
    <row r="116" spans="1:2" ht="15.75" x14ac:dyDescent="0.25">
      <c r="A116" s="108"/>
      <c r="B116" s="108"/>
    </row>
    <row r="117" spans="1:2" ht="15.75" x14ac:dyDescent="0.25">
      <c r="A117" s="130" t="s">
        <v>129</v>
      </c>
      <c r="B117" s="108"/>
    </row>
    <row r="119" spans="1:2" x14ac:dyDescent="0.25">
      <c r="A119" s="35" t="s">
        <v>130</v>
      </c>
    </row>
    <row r="120" spans="1:2" x14ac:dyDescent="0.25">
      <c r="A120" s="35" t="s">
        <v>131</v>
      </c>
    </row>
    <row r="222" spans="1:6" x14ac:dyDescent="0.25">
      <c r="A222" s="117" t="s">
        <v>346</v>
      </c>
      <c r="B222" s="117"/>
      <c r="C222" s="117"/>
      <c r="D222" s="117"/>
      <c r="E222" s="117"/>
      <c r="F222" s="117">
        <v>750</v>
      </c>
    </row>
    <row r="300" spans="1:5" x14ac:dyDescent="0.25">
      <c r="A300" s="35" t="s">
        <v>406</v>
      </c>
      <c r="D300" s="35" t="s">
        <v>407</v>
      </c>
    </row>
    <row r="301" spans="1:5" x14ac:dyDescent="0.25">
      <c r="A301" s="35" t="s">
        <v>408</v>
      </c>
      <c r="E301" s="35">
        <v>2.8</v>
      </c>
    </row>
    <row r="302" spans="1:5" x14ac:dyDescent="0.25">
      <c r="A302" s="35" t="s">
        <v>409</v>
      </c>
      <c r="E302" s="35">
        <v>4.5</v>
      </c>
    </row>
    <row r="303" spans="1:5" x14ac:dyDescent="0.25">
      <c r="A303" s="35" t="s">
        <v>410</v>
      </c>
      <c r="E303" s="35">
        <v>4.5</v>
      </c>
    </row>
    <row r="304" spans="1:5" x14ac:dyDescent="0.25">
      <c r="A304" s="35" t="s">
        <v>411</v>
      </c>
      <c r="E304" s="35">
        <v>3</v>
      </c>
    </row>
    <row r="305" spans="1:5" x14ac:dyDescent="0.25">
      <c r="A305" s="35" t="s">
        <v>414</v>
      </c>
      <c r="E305" s="35">
        <v>4.5</v>
      </c>
    </row>
    <row r="381" spans="1:1" x14ac:dyDescent="0.25">
      <c r="A381" s="35" t="s">
        <v>264</v>
      </c>
    </row>
    <row r="382" spans="1:1" x14ac:dyDescent="0.25">
      <c r="A382" s="35" t="s">
        <v>326</v>
      </c>
    </row>
    <row r="383" spans="1:1" x14ac:dyDescent="0.25">
      <c r="A383" s="35" t="s">
        <v>325</v>
      </c>
    </row>
    <row r="500" spans="1:2" x14ac:dyDescent="0.25">
      <c r="A500" s="35" t="s">
        <v>447</v>
      </c>
    </row>
    <row r="501" spans="1:2" x14ac:dyDescent="0.25">
      <c r="A501" s="35" t="s">
        <v>448</v>
      </c>
    </row>
    <row r="502" spans="1:2" x14ac:dyDescent="0.25">
      <c r="A502" s="35" t="s">
        <v>449</v>
      </c>
    </row>
    <row r="503" spans="1:2" x14ac:dyDescent="0.25">
      <c r="A503" s="35" t="s">
        <v>450</v>
      </c>
      <c r="B503" s="35">
        <v>1</v>
      </c>
    </row>
    <row r="504" spans="1:2" x14ac:dyDescent="0.25">
      <c r="A504" s="35" t="s">
        <v>451</v>
      </c>
      <c r="B504" s="35">
        <v>2</v>
      </c>
    </row>
    <row r="505" spans="1:2" x14ac:dyDescent="0.25">
      <c r="A505" s="35" t="s">
        <v>452</v>
      </c>
      <c r="B505" s="35">
        <v>3</v>
      </c>
    </row>
    <row r="506" spans="1:2" x14ac:dyDescent="0.25">
      <c r="A506" s="35" t="s">
        <v>453</v>
      </c>
      <c r="B506" s="35">
        <v>4</v>
      </c>
    </row>
    <row r="507" spans="1:2" x14ac:dyDescent="0.25">
      <c r="A507" s="35" t="s">
        <v>454</v>
      </c>
      <c r="B507" s="35">
        <v>5</v>
      </c>
    </row>
    <row r="508" spans="1:2" x14ac:dyDescent="0.25">
      <c r="A508" s="35" t="s">
        <v>455</v>
      </c>
      <c r="B508" s="35">
        <v>6</v>
      </c>
    </row>
    <row r="509" spans="1:2" x14ac:dyDescent="0.25">
      <c r="A509" s="35" t="s">
        <v>456</v>
      </c>
      <c r="B509" s="35">
        <v>7</v>
      </c>
    </row>
    <row r="510" spans="1:2" x14ac:dyDescent="0.25">
      <c r="A510" s="35" t="s">
        <v>457</v>
      </c>
      <c r="B510" s="35">
        <v>8</v>
      </c>
    </row>
    <row r="511" spans="1:2" x14ac:dyDescent="0.25">
      <c r="A511" s="35" t="s">
        <v>458</v>
      </c>
      <c r="B511" s="35">
        <v>9</v>
      </c>
    </row>
    <row r="512" spans="1:2" x14ac:dyDescent="0.25">
      <c r="A512" s="35" t="s">
        <v>459</v>
      </c>
      <c r="B512" s="35">
        <v>10</v>
      </c>
    </row>
    <row r="513" spans="1:2" x14ac:dyDescent="0.25">
      <c r="A513" s="35" t="s">
        <v>460</v>
      </c>
      <c r="B513" s="35">
        <v>11</v>
      </c>
    </row>
    <row r="514" spans="1:2" x14ac:dyDescent="0.25">
      <c r="A514" s="35" t="s">
        <v>461</v>
      </c>
      <c r="B514" s="35">
        <v>12</v>
      </c>
    </row>
    <row r="515" spans="1:2" x14ac:dyDescent="0.25">
      <c r="A515" s="35" t="s">
        <v>462</v>
      </c>
      <c r="B515" s="35">
        <v>13</v>
      </c>
    </row>
    <row r="516" spans="1:2" x14ac:dyDescent="0.25">
      <c r="A516" s="35" t="s">
        <v>463</v>
      </c>
      <c r="B516" s="35">
        <v>14</v>
      </c>
    </row>
    <row r="517" spans="1:2" x14ac:dyDescent="0.25">
      <c r="A517" s="35" t="s">
        <v>464</v>
      </c>
      <c r="B517" s="35">
        <v>15</v>
      </c>
    </row>
    <row r="518" spans="1:2" x14ac:dyDescent="0.25">
      <c r="A518" s="35" t="s">
        <v>465</v>
      </c>
      <c r="B518" s="35">
        <v>16</v>
      </c>
    </row>
    <row r="519" spans="1:2" x14ac:dyDescent="0.25">
      <c r="A519" s="35" t="s">
        <v>466</v>
      </c>
      <c r="B519" s="35">
        <v>17</v>
      </c>
    </row>
    <row r="520" spans="1:2" x14ac:dyDescent="0.25">
      <c r="A520" s="35" t="s">
        <v>467</v>
      </c>
      <c r="B520" s="35">
        <v>18</v>
      </c>
    </row>
    <row r="521" spans="1:2" x14ac:dyDescent="0.25">
      <c r="A521" s="35" t="s">
        <v>468</v>
      </c>
      <c r="B521" s="35">
        <v>19</v>
      </c>
    </row>
    <row r="522" spans="1:2" x14ac:dyDescent="0.25">
      <c r="A522" s="35" t="s">
        <v>469</v>
      </c>
      <c r="B522" s="35">
        <v>20</v>
      </c>
    </row>
    <row r="523" spans="1:2" x14ac:dyDescent="0.25">
      <c r="A523" s="35" t="s">
        <v>470</v>
      </c>
      <c r="B523" s="35">
        <v>40</v>
      </c>
    </row>
  </sheetData>
  <sheetProtection algorithmName="SHA-512" hashValue="6TZHjBqv7OuajRbyi5Rj0x4Fk6pWMddfap3HwTRJ2y1koylTTyaGemsYsuKE34pj33jp21CKeaI1M9ondPKHHg==" saltValue="Tq1ctKL0Fu8oahnDew248g==" spinCount="100000" sheet="1" objects="1" scenarios="1" selectLockedCells="1"/>
  <dataConsolidate>
    <dataRefs count="2">
      <dataRef ref="AB14:AB26" sheet="matrixen"/>
      <dataRef ref="A57:E76" sheet="matrixen"/>
    </dataRefs>
  </dataConsolidate>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M66"/>
  <sheetViews>
    <sheetView showGridLines="0" showRowColHeaders="0" zoomScaleNormal="100" workbookViewId="0">
      <selection activeCell="A5" sqref="A5:XFD5"/>
    </sheetView>
  </sheetViews>
  <sheetFormatPr defaultRowHeight="15" x14ac:dyDescent="0.25"/>
  <cols>
    <col min="1" max="1" width="119.140625" customWidth="1"/>
    <col min="6" max="6" width="2.140625" customWidth="1"/>
    <col min="9" max="9" width="8" customWidth="1"/>
    <col min="11" max="11" width="10.140625" customWidth="1"/>
    <col min="12" max="12" width="6.42578125" customWidth="1"/>
  </cols>
  <sheetData>
    <row r="1" spans="1:4" x14ac:dyDescent="0.25">
      <c r="A1" s="134" t="s">
        <v>422</v>
      </c>
      <c r="D1" s="2"/>
    </row>
    <row r="2" spans="1:4" x14ac:dyDescent="0.25">
      <c r="A2" s="134"/>
      <c r="D2" s="2"/>
    </row>
    <row r="3" spans="1:4" ht="76.5" x14ac:dyDescent="0.25">
      <c r="A3" s="134" t="s">
        <v>443</v>
      </c>
      <c r="D3" s="2"/>
    </row>
    <row r="4" spans="1:4" ht="51" x14ac:dyDescent="0.25">
      <c r="A4" s="134" t="s">
        <v>444</v>
      </c>
      <c r="D4" s="2"/>
    </row>
    <row r="5" spans="1:4" x14ac:dyDescent="0.25">
      <c r="A5" s="134"/>
      <c r="D5" s="2"/>
    </row>
    <row r="6" spans="1:4" x14ac:dyDescent="0.25">
      <c r="A6" s="134" t="s">
        <v>423</v>
      </c>
      <c r="D6" s="2"/>
    </row>
    <row r="7" spans="1:4" ht="38.25" x14ac:dyDescent="0.25">
      <c r="A7" s="134" t="s">
        <v>424</v>
      </c>
      <c r="D7" s="2"/>
    </row>
    <row r="8" spans="1:4" x14ac:dyDescent="0.25">
      <c r="A8" s="134"/>
      <c r="D8" s="2"/>
    </row>
    <row r="9" spans="1:4" ht="25.5" x14ac:dyDescent="0.25">
      <c r="A9" s="135" t="s">
        <v>425</v>
      </c>
      <c r="D9" s="2"/>
    </row>
    <row r="10" spans="1:4" x14ac:dyDescent="0.25">
      <c r="A10" s="135"/>
      <c r="D10" s="2"/>
    </row>
    <row r="11" spans="1:4" ht="76.5" x14ac:dyDescent="0.25">
      <c r="A11" s="134" t="s">
        <v>426</v>
      </c>
      <c r="D11" s="2"/>
    </row>
    <row r="12" spans="1:4" ht="25.5" x14ac:dyDescent="0.25">
      <c r="A12" s="134" t="s">
        <v>427</v>
      </c>
      <c r="D12" s="2"/>
    </row>
    <row r="13" spans="1:4" x14ac:dyDescent="0.25">
      <c r="D13" s="2"/>
    </row>
    <row r="14" spans="1:4" ht="51" x14ac:dyDescent="0.25">
      <c r="A14" s="134" t="s">
        <v>428</v>
      </c>
      <c r="D14" s="2"/>
    </row>
    <row r="15" spans="1:4" x14ac:dyDescent="0.25">
      <c r="A15" s="134"/>
      <c r="D15" s="2"/>
    </row>
    <row r="16" spans="1:4" ht="25.5" x14ac:dyDescent="0.25">
      <c r="A16" s="134" t="s">
        <v>429</v>
      </c>
      <c r="D16" s="2"/>
    </row>
    <row r="17" spans="1:4" x14ac:dyDescent="0.25">
      <c r="A17" s="135"/>
      <c r="D17" s="2"/>
    </row>
    <row r="18" spans="1:4" ht="38.25" x14ac:dyDescent="0.25">
      <c r="A18" s="134" t="s">
        <v>430</v>
      </c>
      <c r="D18" s="2"/>
    </row>
    <row r="19" spans="1:4" x14ac:dyDescent="0.25">
      <c r="A19" s="134"/>
      <c r="D19" s="2"/>
    </row>
    <row r="20" spans="1:4" x14ac:dyDescent="0.25">
      <c r="A20" s="134" t="s">
        <v>431</v>
      </c>
      <c r="D20" s="2"/>
    </row>
    <row r="21" spans="1:4" x14ac:dyDescent="0.25">
      <c r="A21" s="135"/>
      <c r="D21" s="2"/>
    </row>
    <row r="22" spans="1:4" x14ac:dyDescent="0.25">
      <c r="A22" s="135" t="s">
        <v>432</v>
      </c>
      <c r="D22" s="2"/>
    </row>
    <row r="23" spans="1:4" x14ac:dyDescent="0.25">
      <c r="A23" s="134" t="s">
        <v>433</v>
      </c>
      <c r="D23" s="2"/>
    </row>
    <row r="24" spans="1:4" x14ac:dyDescent="0.25">
      <c r="A24" s="135"/>
      <c r="D24" s="2"/>
    </row>
    <row r="25" spans="1:4" x14ac:dyDescent="0.25">
      <c r="A25" s="135" t="s">
        <v>434</v>
      </c>
      <c r="D25" s="2"/>
    </row>
    <row r="26" spans="1:4" x14ac:dyDescent="0.25">
      <c r="A26" s="134" t="s">
        <v>435</v>
      </c>
      <c r="D26" s="2"/>
    </row>
    <row r="27" spans="1:4" x14ac:dyDescent="0.25">
      <c r="A27" s="134"/>
      <c r="D27" s="2"/>
    </row>
    <row r="28" spans="1:4" x14ac:dyDescent="0.25">
      <c r="A28" s="135" t="s">
        <v>436</v>
      </c>
      <c r="D28" s="2"/>
    </row>
    <row r="29" spans="1:4" x14ac:dyDescent="0.25">
      <c r="A29" s="134" t="s">
        <v>433</v>
      </c>
      <c r="D29" s="2"/>
    </row>
    <row r="30" spans="1:4" x14ac:dyDescent="0.25">
      <c r="A30" s="135"/>
      <c r="D30" s="2"/>
    </row>
    <row r="31" spans="1:4" x14ac:dyDescent="0.25">
      <c r="A31" s="135" t="s">
        <v>437</v>
      </c>
      <c r="D31" s="2"/>
    </row>
    <row r="32" spans="1:4" x14ac:dyDescent="0.25">
      <c r="A32" s="134" t="s">
        <v>438</v>
      </c>
      <c r="D32" s="2"/>
    </row>
    <row r="33" spans="1:12" x14ac:dyDescent="0.25">
      <c r="A33" s="135"/>
      <c r="D33" s="2"/>
    </row>
    <row r="34" spans="1:12" ht="25.5" x14ac:dyDescent="0.25">
      <c r="A34" s="134" t="s">
        <v>439</v>
      </c>
      <c r="D34" s="2"/>
    </row>
    <row r="35" spans="1:12" x14ac:dyDescent="0.25">
      <c r="A35" s="134"/>
      <c r="D35" s="2"/>
    </row>
    <row r="36" spans="1:12" ht="38.25" x14ac:dyDescent="0.25">
      <c r="A36" s="134" t="s">
        <v>440</v>
      </c>
      <c r="D36" s="2"/>
    </row>
    <row r="37" spans="1:12" x14ac:dyDescent="0.25">
      <c r="A37" s="134"/>
      <c r="D37" s="2"/>
    </row>
    <row r="38" spans="1:12" ht="25.5" x14ac:dyDescent="0.25">
      <c r="A38" s="134" t="s">
        <v>441</v>
      </c>
      <c r="D38" s="2"/>
    </row>
    <row r="39" spans="1:12" x14ac:dyDescent="0.25">
      <c r="A39" s="134"/>
      <c r="D39" s="2"/>
    </row>
    <row r="40" spans="1:12" x14ac:dyDescent="0.25">
      <c r="D40" s="2"/>
    </row>
    <row r="41" spans="1:12" x14ac:dyDescent="0.25">
      <c r="D41" s="2"/>
    </row>
    <row r="42" spans="1:12" x14ac:dyDescent="0.25">
      <c r="D42" s="2"/>
    </row>
    <row r="43" spans="1:12" x14ac:dyDescent="0.25">
      <c r="D43" s="2"/>
    </row>
    <row r="44" spans="1:12" x14ac:dyDescent="0.25">
      <c r="D44" s="2"/>
    </row>
    <row r="45" spans="1:12" x14ac:dyDescent="0.25">
      <c r="J45" s="39"/>
    </row>
    <row r="46" spans="1:12" x14ac:dyDescent="0.25">
      <c r="L46" s="39"/>
    </row>
    <row r="47" spans="1:12" x14ac:dyDescent="0.25">
      <c r="D47" s="2"/>
    </row>
    <row r="48" spans="1:12" x14ac:dyDescent="0.25">
      <c r="D48" s="2"/>
    </row>
    <row r="49" spans="2:13" x14ac:dyDescent="0.25">
      <c r="D49" s="2"/>
    </row>
    <row r="50" spans="2:13" x14ac:dyDescent="0.25">
      <c r="D50" s="2"/>
    </row>
    <row r="51" spans="2:13" x14ac:dyDescent="0.25">
      <c r="D51" s="2"/>
    </row>
    <row r="52" spans="2:13" x14ac:dyDescent="0.25">
      <c r="M52" s="39"/>
    </row>
    <row r="53" spans="2:13" x14ac:dyDescent="0.25">
      <c r="D53" s="2"/>
    </row>
    <row r="54" spans="2:13" x14ac:dyDescent="0.25">
      <c r="D54" s="2"/>
    </row>
    <row r="55" spans="2:13" x14ac:dyDescent="0.25">
      <c r="D55" s="2"/>
    </row>
    <row r="56" spans="2:13" x14ac:dyDescent="0.25">
      <c r="D56" s="2"/>
    </row>
    <row r="57" spans="2:13" x14ac:dyDescent="0.25">
      <c r="D57" s="2"/>
    </row>
    <row r="58" spans="2:13" x14ac:dyDescent="0.25">
      <c r="B58" s="39"/>
      <c r="G58" s="39"/>
    </row>
    <row r="59" spans="2:13" x14ac:dyDescent="0.25">
      <c r="D59" s="2"/>
    </row>
    <row r="60" spans="2:13" x14ac:dyDescent="0.25">
      <c r="D60" s="2"/>
    </row>
    <row r="61" spans="2:13" x14ac:dyDescent="0.25">
      <c r="D61" s="2"/>
    </row>
    <row r="62" spans="2:13" x14ac:dyDescent="0.25">
      <c r="D62" s="2"/>
    </row>
    <row r="63" spans="2:13" x14ac:dyDescent="0.25">
      <c r="D63" s="2"/>
    </row>
    <row r="64" spans="2:13" x14ac:dyDescent="0.25">
      <c r="D64" s="2"/>
    </row>
    <row r="65" spans="2:4" x14ac:dyDescent="0.25">
      <c r="B65" s="3"/>
      <c r="D65" s="2"/>
    </row>
    <row r="66" spans="2:4" x14ac:dyDescent="0.25">
      <c r="B66" s="3"/>
    </row>
  </sheetData>
  <sheetProtection algorithmName="SHA-512" hashValue="/AeAWfLl5HlVHp/OlUiWoZW121PtoDTNRSEtvvTFx+F4c6bJ/9F/c6nSfJeZouVQ48AdX6Ofbe8c/s3gHYjMSA==" saltValue="fIkh37pEJqjk5DlOcxq/2w==" spinCount="100000" sheet="1" objects="1" scenarios="1" selectLockedCells="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U63"/>
  <sheetViews>
    <sheetView showGridLines="0" showRowColHeaders="0" showZeros="0" zoomScaleNormal="100" workbookViewId="0">
      <selection activeCell="I29" sqref="I29"/>
    </sheetView>
  </sheetViews>
  <sheetFormatPr defaultRowHeight="15" x14ac:dyDescent="0.25"/>
  <cols>
    <col min="1" max="1" width="11.85546875" style="50" customWidth="1"/>
    <col min="2" max="2" width="5.42578125" style="50" customWidth="1"/>
    <col min="3" max="3" width="11" style="50" customWidth="1"/>
    <col min="4" max="4" width="9.140625" style="50"/>
    <col min="5" max="5" width="8" style="50" customWidth="1"/>
    <col min="6" max="6" width="10.28515625" style="50" customWidth="1"/>
    <col min="7" max="7" width="6.42578125" style="50" customWidth="1"/>
    <col min="8" max="8" width="12" style="50" customWidth="1"/>
    <col min="9" max="9" width="10.42578125" style="50" customWidth="1"/>
    <col min="10" max="16384" width="9.140625" style="50"/>
  </cols>
  <sheetData>
    <row r="1" spans="1:18" x14ac:dyDescent="0.25">
      <c r="C1" s="64" t="str">
        <f>"Reservatievoorstel. " &amp;matrixen!B1</f>
        <v>Reservatievoorstel. Prijzen geldig tot 31/03/2023</v>
      </c>
      <c r="K1" s="47" t="s">
        <v>191</v>
      </c>
      <c r="P1" s="51" t="s">
        <v>192</v>
      </c>
      <c r="Q1" s="52">
        <f>E9</f>
        <v>0</v>
      </c>
    </row>
    <row r="2" spans="1:18" ht="15.75" thickBot="1" x14ac:dyDescent="0.3">
      <c r="A2" s="65" t="s">
        <v>149</v>
      </c>
      <c r="C2" s="50">
        <f>'recepties en babyborrels'!F58</f>
        <v>0</v>
      </c>
      <c r="G2" s="64" t="s">
        <v>150</v>
      </c>
      <c r="M2" s="53"/>
      <c r="P2" s="51" t="str">
        <f>IF(Q2&gt;0,"Prijs drankforfait na de maaltijd of extra uren aan 21% BTW:","")</f>
        <v/>
      </c>
      <c r="Q2" s="52">
        <f>'recepties en babyborrels'!D33+'recepties en babyborrels'!D36</f>
        <v>0</v>
      </c>
    </row>
    <row r="3" spans="1:18" ht="15.75" customHeight="1" thickBot="1" x14ac:dyDescent="0.3">
      <c r="A3" s="65" t="s">
        <v>146</v>
      </c>
      <c r="C3" s="50">
        <f>'recepties en babyborrels'!F59</f>
        <v>0</v>
      </c>
      <c r="G3" s="64" t="s">
        <v>151</v>
      </c>
      <c r="L3" s="54"/>
      <c r="M3" s="55" t="s">
        <v>203</v>
      </c>
      <c r="N3" s="55"/>
      <c r="O3" s="143" t="s">
        <v>204</v>
      </c>
      <c r="P3" s="146" t="str">
        <f>IF(Q2&gt;0,"Drank- forfait:","")</f>
        <v/>
      </c>
      <c r="Q3" s="148" t="s">
        <v>193</v>
      </c>
      <c r="R3" s="143" t="s">
        <v>205</v>
      </c>
    </row>
    <row r="4" spans="1:18" ht="15.75" thickBot="1" x14ac:dyDescent="0.3">
      <c r="A4" s="65" t="s">
        <v>147</v>
      </c>
      <c r="C4" s="50">
        <f>'recepties en babyborrels'!F60</f>
        <v>0</v>
      </c>
      <c r="G4" s="64" t="s">
        <v>152</v>
      </c>
      <c r="K4" s="56" t="s">
        <v>194</v>
      </c>
      <c r="L4" s="72" t="s">
        <v>195</v>
      </c>
      <c r="M4" s="56" t="s">
        <v>405</v>
      </c>
      <c r="N4" s="72" t="s">
        <v>196</v>
      </c>
      <c r="O4" s="144"/>
      <c r="P4" s="147"/>
      <c r="Q4" s="149"/>
      <c r="R4" s="144"/>
    </row>
    <row r="5" spans="1:18" x14ac:dyDescent="0.25">
      <c r="A5" s="65" t="s">
        <v>148</v>
      </c>
      <c r="C5" s="50">
        <f>'recepties en babyborrels'!F61</f>
        <v>0</v>
      </c>
      <c r="G5" s="50" t="s">
        <v>184</v>
      </c>
      <c r="J5" s="50" t="s">
        <v>197</v>
      </c>
      <c r="K5" s="57">
        <f>D9</f>
        <v>0</v>
      </c>
      <c r="L5" s="73">
        <f>Q1-Q2</f>
        <v>0</v>
      </c>
      <c r="M5" s="58">
        <f>ROUND((L5)*0.65,2)</f>
        <v>0</v>
      </c>
      <c r="N5" s="74">
        <f>L5-M5</f>
        <v>0</v>
      </c>
      <c r="O5" s="75">
        <f>K5*M5</f>
        <v>0</v>
      </c>
      <c r="P5" s="76">
        <f>Q2</f>
        <v>0</v>
      </c>
      <c r="Q5" s="58">
        <f>N5+P5</f>
        <v>0</v>
      </c>
      <c r="R5" s="75">
        <f>K5*Q5</f>
        <v>0</v>
      </c>
    </row>
    <row r="6" spans="1:18" x14ac:dyDescent="0.25">
      <c r="A6" s="65" t="str">
        <f>'recepties en babyborrels'!E65</f>
        <v>reden feest:</v>
      </c>
      <c r="B6" s="66">
        <f>'recepties en babyborrels'!F65</f>
        <v>0</v>
      </c>
      <c r="C6" s="59"/>
      <c r="D6" s="59"/>
      <c r="E6" s="59"/>
      <c r="F6" s="59"/>
      <c r="G6" s="67" t="s">
        <v>153</v>
      </c>
      <c r="J6" s="50" t="s">
        <v>198</v>
      </c>
      <c r="K6" s="57">
        <f>D10</f>
        <v>0</v>
      </c>
      <c r="L6" s="73">
        <f>E10-P6</f>
        <v>0</v>
      </c>
      <c r="M6" s="58">
        <f>ROUND(L6*0.65,2)</f>
        <v>0</v>
      </c>
      <c r="N6" s="74">
        <f t="shared" ref="N6:N7" si="0">L6-M6</f>
        <v>0</v>
      </c>
      <c r="O6" s="75">
        <f t="shared" ref="O6:O8" si="1">K6*M6</f>
        <v>0</v>
      </c>
      <c r="P6" s="76">
        <f>ROUND(Q2/2,2)</f>
        <v>0</v>
      </c>
      <c r="Q6" s="58">
        <f>N6+P6</f>
        <v>0</v>
      </c>
      <c r="R6" s="75">
        <f t="shared" ref="R6:R8" si="2">K6*Q6</f>
        <v>0</v>
      </c>
    </row>
    <row r="7" spans="1:18" x14ac:dyDescent="0.25">
      <c r="A7" s="64" t="s">
        <v>154</v>
      </c>
      <c r="C7" s="60">
        <f>'recepties en babyborrels'!F48</f>
        <v>0</v>
      </c>
      <c r="E7" s="65" t="s">
        <v>265</v>
      </c>
      <c r="F7" s="50">
        <f>'recepties en babyborrels'!F62</f>
        <v>0</v>
      </c>
      <c r="G7" s="67"/>
      <c r="J7" s="50" t="s">
        <v>199</v>
      </c>
      <c r="K7" s="57">
        <f>D11</f>
        <v>0</v>
      </c>
      <c r="L7" s="73">
        <f>E11-P7</f>
        <v>0</v>
      </c>
      <c r="M7" s="58">
        <f>ROUND(L7*0.65,2)</f>
        <v>0</v>
      </c>
      <c r="N7" s="74">
        <f t="shared" si="0"/>
        <v>0</v>
      </c>
      <c r="O7" s="75">
        <f t="shared" si="1"/>
        <v>0</v>
      </c>
      <c r="P7" s="76">
        <f>ROUND(Q2/3,2)</f>
        <v>0</v>
      </c>
      <c r="Q7" s="58">
        <f>N7+P7</f>
        <v>0</v>
      </c>
      <c r="R7" s="75">
        <f t="shared" si="2"/>
        <v>0</v>
      </c>
    </row>
    <row r="8" spans="1:18" ht="15.75" thickBot="1" x14ac:dyDescent="0.3">
      <c r="A8" s="67" t="s">
        <v>155</v>
      </c>
      <c r="D8" s="56">
        <f>D9+D12+D11+D10</f>
        <v>0</v>
      </c>
      <c r="E8" s="51" t="s">
        <v>156</v>
      </c>
      <c r="G8" s="68" t="s">
        <v>157</v>
      </c>
      <c r="H8" s="56">
        <f>'recepties en babyborrels'!F55</f>
        <v>0</v>
      </c>
      <c r="J8" s="50" t="s">
        <v>200</v>
      </c>
      <c r="K8" s="57">
        <f>D12</f>
        <v>0</v>
      </c>
      <c r="L8" s="77" t="str">
        <f>E12</f>
        <v>0,00</v>
      </c>
      <c r="M8" s="78">
        <f>ROUND(L8*0.65,2)</f>
        <v>0</v>
      </c>
      <c r="N8" s="74">
        <f t="shared" ref="N8" si="3">L8-M8</f>
        <v>0</v>
      </c>
      <c r="O8" s="79">
        <f t="shared" si="1"/>
        <v>0</v>
      </c>
      <c r="P8" s="80"/>
      <c r="Q8" s="57">
        <f>N8+P8</f>
        <v>0</v>
      </c>
      <c r="R8" s="79">
        <f t="shared" si="2"/>
        <v>0</v>
      </c>
    </row>
    <row r="9" spans="1:18" ht="15.75" thickBot="1" x14ac:dyDescent="0.3">
      <c r="C9" s="68" t="s">
        <v>158</v>
      </c>
      <c r="D9" s="56">
        <f>'recepties en babyborrels'!F50</f>
        <v>0</v>
      </c>
      <c r="E9" s="52">
        <f>'recepties en babyborrels'!D7</f>
        <v>0</v>
      </c>
      <c r="G9" s="68" t="s">
        <v>144</v>
      </c>
      <c r="H9" s="56">
        <f>'recepties en babyborrels'!F56</f>
        <v>0</v>
      </c>
      <c r="L9" s="81" t="s">
        <v>206</v>
      </c>
      <c r="M9" s="82"/>
      <c r="O9" s="100">
        <f>ROUND(M9/98*100,2)</f>
        <v>0</v>
      </c>
      <c r="P9" s="83"/>
      <c r="Q9" s="58">
        <f>I12+I13</f>
        <v>0</v>
      </c>
    </row>
    <row r="10" spans="1:18" ht="15.75" thickBot="1" x14ac:dyDescent="0.3">
      <c r="C10" s="68" t="s">
        <v>159</v>
      </c>
      <c r="D10" s="56">
        <f>'recepties en babyborrels'!F51</f>
        <v>0</v>
      </c>
      <c r="E10" s="52">
        <f>'recepties en babyborrels'!J7</f>
        <v>0</v>
      </c>
      <c r="H10" s="51" t="s">
        <v>171</v>
      </c>
      <c r="I10" s="61">
        <f>D9*E9+D10*E10+D11*E11+D12*E12</f>
        <v>0</v>
      </c>
      <c r="L10" s="51" t="s">
        <v>207</v>
      </c>
      <c r="M10" s="150"/>
      <c r="N10" s="151"/>
    </row>
    <row r="11" spans="1:18" x14ac:dyDescent="0.25">
      <c r="C11" s="68" t="s">
        <v>160</v>
      </c>
      <c r="D11" s="56">
        <f>'recepties en babyborrels'!F52</f>
        <v>0</v>
      </c>
      <c r="E11" s="52">
        <f>'recepties en babyborrels'!H7</f>
        <v>0</v>
      </c>
      <c r="H11" s="51" t="s">
        <v>172</v>
      </c>
      <c r="I11" s="61">
        <f>'recepties en babyborrels'!F63</f>
        <v>0</v>
      </c>
      <c r="K11" s="1"/>
      <c r="L11" s="51" t="str">
        <f>IF(O9&gt;0,"Voorschot uitgesplitst:","")</f>
        <v/>
      </c>
      <c r="M11" s="52" t="str">
        <f>IF(O9&gt;0," € "&amp;ROUND(O9*0.65,2) &amp; " x 12% =&gt; Dep. B  en € " &amp; ROUND(O9*0.35,2) &amp; " x 21% =&gt; Dep. A.","")</f>
        <v/>
      </c>
      <c r="N11" s="52"/>
    </row>
    <row r="12" spans="1:18" ht="15.75" thickBot="1" x14ac:dyDescent="0.3">
      <c r="C12" s="68" t="s">
        <v>161</v>
      </c>
      <c r="D12" s="56">
        <f>'recepties en babyborrels'!F53</f>
        <v>0</v>
      </c>
      <c r="E12" s="62" t="str">
        <f>'recepties en babyborrels'!F7</f>
        <v>0,00</v>
      </c>
      <c r="H12" s="51" t="s">
        <v>173</v>
      </c>
      <c r="I12" s="61">
        <f>IF(D8=0,0,IF((I10+I11)&lt;matrixen!E7,(matrixen!E7-Reservatievoorstel!I10-Reservatievoorstel!I11),0))</f>
        <v>0</v>
      </c>
      <c r="M12" s="51" t="s">
        <v>208</v>
      </c>
      <c r="N12" s="56">
        <f>IF(O9&gt;0,ROUNDUP((O9+1)/L5,0),0)</f>
        <v>0</v>
      </c>
      <c r="O12" s="52" t="s">
        <v>209</v>
      </c>
    </row>
    <row r="13" spans="1:18" ht="15.75" thickBot="1" x14ac:dyDescent="0.3">
      <c r="A13" s="164"/>
      <c r="B13" s="164"/>
      <c r="C13" s="164"/>
      <c r="D13" s="164"/>
      <c r="E13" s="164"/>
      <c r="F13" s="164"/>
      <c r="H13" s="51" t="str">
        <f>IF('recepties en babyborrels'!E47&gt;0,"U koos exclusiviteit: ","")</f>
        <v/>
      </c>
      <c r="I13" s="61">
        <f>'recepties en babyborrels'!E47</f>
        <v>0</v>
      </c>
      <c r="J13" s="152" t="s">
        <v>210</v>
      </c>
      <c r="K13" s="153"/>
      <c r="L13" s="154"/>
      <c r="M13" s="155" t="str">
        <f>IF(O9*0.65 &gt;N12*M5,"ONMOGELIJK U bekomt negatieve waarden.","")</f>
        <v/>
      </c>
      <c r="N13" s="155"/>
      <c r="O13" s="155"/>
      <c r="P13" s="155"/>
      <c r="Q13" s="155"/>
      <c r="R13" s="84"/>
    </row>
    <row r="14" spans="1:18" x14ac:dyDescent="0.25">
      <c r="A14" s="164"/>
      <c r="B14" s="164"/>
      <c r="C14" s="104"/>
      <c r="D14" s="166"/>
      <c r="E14" s="164"/>
      <c r="F14" s="164"/>
      <c r="H14" s="51" t="s">
        <v>174</v>
      </c>
      <c r="I14" s="61">
        <f>I12+I11+I10+I13</f>
        <v>0</v>
      </c>
      <c r="J14" s="85">
        <f>N12</f>
        <v>0</v>
      </c>
      <c r="K14" s="86" t="s">
        <v>211</v>
      </c>
      <c r="L14" s="86" t="s">
        <v>212</v>
      </c>
      <c r="M14" s="87" t="str">
        <f>IFERROR(ROUND(M5-O9*0.65/N12,2),"")</f>
        <v/>
      </c>
      <c r="N14" s="88">
        <v>0.12</v>
      </c>
      <c r="O14" s="87" t="str">
        <f>IFERROR(J14*M14,"")</f>
        <v/>
      </c>
      <c r="P14" s="89" t="s">
        <v>204</v>
      </c>
      <c r="Q14" s="90" t="s">
        <v>213</v>
      </c>
      <c r="R14" s="91"/>
    </row>
    <row r="15" spans="1:18" x14ac:dyDescent="0.25">
      <c r="A15" s="164"/>
      <c r="B15" s="167"/>
      <c r="C15" s="164"/>
      <c r="D15" s="164"/>
      <c r="E15" s="164"/>
      <c r="F15" s="164"/>
      <c r="H15" s="51" t="s">
        <v>188</v>
      </c>
      <c r="I15" s="61">
        <f>'recepties en babyborrels'!F72</f>
        <v>0</v>
      </c>
      <c r="J15" s="156" t="str">
        <f>IFERROR( " Er wordt € " &amp; ROUND(O9*0.65/N12,2) &amp; " minder geboekt bij " &amp; N12 &amp; " personen omdat dit reeds als voorschot werd geboekt.","")</f>
        <v/>
      </c>
      <c r="K15" s="157"/>
      <c r="L15" s="157"/>
      <c r="M15" s="157"/>
      <c r="N15" s="157"/>
      <c r="O15" s="157"/>
      <c r="P15" s="157"/>
      <c r="Q15" s="157"/>
      <c r="R15" s="158"/>
    </row>
    <row r="16" spans="1:18" x14ac:dyDescent="0.25">
      <c r="A16" s="164"/>
      <c r="B16" s="164"/>
      <c r="C16" s="164"/>
      <c r="D16" s="164"/>
      <c r="E16" s="168"/>
      <c r="F16" s="164"/>
      <c r="G16" s="51"/>
      <c r="I16" s="68" t="str">
        <f>IF(O9&gt;0," Uw voorschot van € " &amp; O9 &amp; " wordt nog in mindering gebracht","")</f>
        <v/>
      </c>
      <c r="J16" s="92">
        <f>N12</f>
        <v>0</v>
      </c>
      <c r="K16" s="89" t="s">
        <v>211</v>
      </c>
      <c r="L16" s="89" t="s">
        <v>212</v>
      </c>
      <c r="M16" s="87" t="str">
        <f>IFERROR(ROUND(Q5-O9*0.35/N12,2),"")</f>
        <v/>
      </c>
      <c r="N16" s="88">
        <v>0.21</v>
      </c>
      <c r="O16" s="87" t="str">
        <f>IFERROR(J16*M16,"")</f>
        <v/>
      </c>
      <c r="P16" s="89" t="s">
        <v>205</v>
      </c>
      <c r="Q16" s="90" t="s">
        <v>213</v>
      </c>
      <c r="R16" s="91"/>
    </row>
    <row r="17" spans="1:21" x14ac:dyDescent="0.25">
      <c r="A17" s="169">
        <f>IFERROR(E9,"Dit voorstel is ongeldig. Het aantal hapjes klopt niet")</f>
        <v>0</v>
      </c>
      <c r="B17" s="170"/>
      <c r="C17" s="164"/>
      <c r="D17" s="164"/>
      <c r="E17" s="164"/>
      <c r="F17" s="164"/>
      <c r="H17" s="65" t="s">
        <v>180</v>
      </c>
      <c r="J17" s="156" t="str">
        <f>IFERROR( " Er wordt € " &amp; ROUND(O9*0.35/N12,2) &amp; " minder geboekt bij " &amp; N12 &amp; " personen omdat dit reeds als voorschot werd geboekt.","")</f>
        <v/>
      </c>
      <c r="K17" s="157"/>
      <c r="L17" s="157"/>
      <c r="M17" s="157"/>
      <c r="N17" s="157"/>
      <c r="O17" s="157"/>
      <c r="P17" s="157"/>
      <c r="Q17" s="157"/>
      <c r="R17" s="158"/>
    </row>
    <row r="18" spans="1:21" x14ac:dyDescent="0.25">
      <c r="A18" s="164"/>
      <c r="B18" s="170"/>
      <c r="C18" s="170"/>
      <c r="D18" s="170"/>
      <c r="E18" s="170"/>
      <c r="F18" s="170"/>
      <c r="I18" s="68" t="s">
        <v>179</v>
      </c>
      <c r="J18" s="92">
        <f>K5-J14</f>
        <v>0</v>
      </c>
      <c r="K18" s="89" t="str">
        <f>K14</f>
        <v>vol</v>
      </c>
      <c r="L18" s="89" t="s">
        <v>212</v>
      </c>
      <c r="M18" s="87">
        <f>M5</f>
        <v>0</v>
      </c>
      <c r="N18" s="88">
        <f>N14</f>
        <v>0.12</v>
      </c>
      <c r="O18" s="87">
        <f t="shared" ref="O18:O23" si="4">J18*M18</f>
        <v>0</v>
      </c>
      <c r="P18" s="89" t="s">
        <v>204</v>
      </c>
      <c r="Q18" s="63"/>
      <c r="R18" s="91"/>
    </row>
    <row r="19" spans="1:21" x14ac:dyDescent="0.25">
      <c r="A19" s="69"/>
      <c r="B19" s="69"/>
      <c r="C19" s="69"/>
      <c r="D19" s="69"/>
      <c r="E19" s="69"/>
      <c r="F19" s="69"/>
      <c r="G19" s="69"/>
      <c r="I19" s="68" t="s">
        <v>181</v>
      </c>
      <c r="J19" s="92">
        <f>K5-J16</f>
        <v>0</v>
      </c>
      <c r="K19" s="89" t="str">
        <f>K16</f>
        <v>vol</v>
      </c>
      <c r="L19" s="89" t="s">
        <v>212</v>
      </c>
      <c r="M19" s="87">
        <f>Q5</f>
        <v>0</v>
      </c>
      <c r="N19" s="88">
        <v>0.21</v>
      </c>
      <c r="O19" s="87">
        <f t="shared" si="4"/>
        <v>0</v>
      </c>
      <c r="P19" s="89" t="s">
        <v>205</v>
      </c>
      <c r="Q19" s="63"/>
      <c r="R19" s="91"/>
      <c r="U19" s="52"/>
    </row>
    <row r="20" spans="1:21" x14ac:dyDescent="0.25">
      <c r="A20" s="69">
        <f>'recepties en babyborrels'!H49</f>
        <v>0</v>
      </c>
      <c r="B20" s="69"/>
      <c r="C20" s="69"/>
      <c r="D20" s="69"/>
      <c r="E20" s="69"/>
      <c r="F20" s="69"/>
      <c r="G20" s="69"/>
      <c r="H20" s="69"/>
      <c r="I20" s="68" t="str">
        <f>'recepties en babyborrels'!B16</f>
        <v>De gast die niet inbegrepen aperitief bestelt betaalt deze zelf (vb: sterke drank)</v>
      </c>
      <c r="J20" s="92">
        <f>K6</f>
        <v>0</v>
      </c>
      <c r="K20" s="89" t="str">
        <f>J6</f>
        <v>JR 1/2</v>
      </c>
      <c r="L20" s="89" t="s">
        <v>212</v>
      </c>
      <c r="M20" s="87">
        <f>M6</f>
        <v>0</v>
      </c>
      <c r="N20" s="88">
        <f>N14</f>
        <v>0.12</v>
      </c>
      <c r="O20" s="87">
        <f t="shared" si="4"/>
        <v>0</v>
      </c>
      <c r="P20" s="89" t="s">
        <v>204</v>
      </c>
      <c r="Q20" s="63"/>
      <c r="R20" s="91"/>
    </row>
    <row r="21" spans="1:21" x14ac:dyDescent="0.25">
      <c r="A21" s="50" t="str">
        <f>IF(D21&lt;&gt;"","u selecteerde als supplement: ","")</f>
        <v/>
      </c>
      <c r="B21" s="69"/>
      <c r="D21" s="1" t="str">
        <f>'recepties en babyborrels'!H50</f>
        <v/>
      </c>
      <c r="E21" s="69"/>
      <c r="F21" s="69"/>
      <c r="G21" s="69"/>
      <c r="H21" s="69"/>
      <c r="I21" s="63"/>
      <c r="J21" s="92">
        <f>K6</f>
        <v>0</v>
      </c>
      <c r="K21" s="89" t="str">
        <f>J6</f>
        <v>JR 1/2</v>
      </c>
      <c r="L21" s="89" t="s">
        <v>212</v>
      </c>
      <c r="M21" s="87">
        <f>Q6</f>
        <v>0</v>
      </c>
      <c r="N21" s="88">
        <v>0.21</v>
      </c>
      <c r="O21" s="87">
        <f t="shared" si="4"/>
        <v>0</v>
      </c>
      <c r="P21" s="89" t="s">
        <v>205</v>
      </c>
      <c r="Q21" s="63"/>
      <c r="R21" s="91"/>
    </row>
    <row r="22" spans="1:21" x14ac:dyDescent="0.25">
      <c r="A22" s="50" t="str">
        <f>IF(D22&lt;&gt;"","u selecteerde als supplement: ","")</f>
        <v/>
      </c>
      <c r="D22" s="1" t="str">
        <f>'recepties en babyborrels'!L48</f>
        <v/>
      </c>
      <c r="E22" s="69"/>
      <c r="F22" s="69"/>
      <c r="G22" s="69"/>
      <c r="H22" s="69"/>
      <c r="I22" s="63"/>
      <c r="J22" s="92">
        <f>K7</f>
        <v>0</v>
      </c>
      <c r="K22" s="89" t="str">
        <f>J7</f>
        <v>JR 1/3</v>
      </c>
      <c r="L22" s="89" t="s">
        <v>212</v>
      </c>
      <c r="M22" s="87">
        <f>M7</f>
        <v>0</v>
      </c>
      <c r="N22" s="88">
        <f>N14</f>
        <v>0.12</v>
      </c>
      <c r="O22" s="87">
        <f t="shared" si="4"/>
        <v>0</v>
      </c>
      <c r="P22" s="89" t="s">
        <v>204</v>
      </c>
      <c r="Q22" s="63"/>
      <c r="R22" s="91"/>
    </row>
    <row r="23" spans="1:21" x14ac:dyDescent="0.25">
      <c r="D23" s="1"/>
      <c r="F23" s="69"/>
      <c r="G23" s="69"/>
      <c r="H23" s="69"/>
      <c r="I23" s="133" t="str">
        <f>IF(OR('recepties en babyborrels'!B57&lt;&gt;"",'recepties en babyborrels'!B58&lt;&gt;"",'recepties en babyborrels'!B59&lt;&gt;"")," U koos volgende late night snack(s)","")</f>
        <v/>
      </c>
      <c r="J23" s="93">
        <f>K7</f>
        <v>0</v>
      </c>
      <c r="K23" s="89" t="str">
        <f>J7</f>
        <v>JR 1/3</v>
      </c>
      <c r="L23" s="89" t="s">
        <v>212</v>
      </c>
      <c r="M23" s="87">
        <f>Q7</f>
        <v>0</v>
      </c>
      <c r="N23" s="88">
        <v>0.21</v>
      </c>
      <c r="O23" s="87">
        <f t="shared" si="4"/>
        <v>0</v>
      </c>
      <c r="P23" s="89" t="s">
        <v>205</v>
      </c>
      <c r="Q23" s="63"/>
      <c r="R23" s="91"/>
    </row>
    <row r="24" spans="1:21" ht="15.75" thickBot="1" x14ac:dyDescent="0.3">
      <c r="C24" s="69"/>
      <c r="D24" s="69"/>
      <c r="E24" s="69"/>
      <c r="F24" s="69"/>
      <c r="G24" s="69"/>
      <c r="H24" s="69"/>
      <c r="I24" s="132">
        <f>'recepties en babyborrels'!B57</f>
        <v>0</v>
      </c>
      <c r="J24" s="94">
        <f>IF(L24&gt;L241,"1",0)</f>
        <v>0</v>
      </c>
      <c r="K24" s="95" t="str">
        <f>IF(L24&gt;0,"x","")</f>
        <v/>
      </c>
      <c r="L24" s="96">
        <f>Q9</f>
        <v>0</v>
      </c>
      <c r="M24" s="97" t="str">
        <f>IF(L24&gt;0,"21%","")</f>
        <v/>
      </c>
      <c r="N24" s="95" t="str">
        <f>IF(L24&gt;0,"Dep. A","")</f>
        <v/>
      </c>
      <c r="O24" s="159">
        <f>P9</f>
        <v>0</v>
      </c>
      <c r="P24" s="159"/>
      <c r="Q24" s="159"/>
      <c r="R24" s="160"/>
    </row>
    <row r="25" spans="1:21" x14ac:dyDescent="0.25">
      <c r="A25" s="1">
        <f>'recepties en babyborrels'!H51</f>
        <v>0</v>
      </c>
      <c r="B25" s="69"/>
      <c r="C25" s="69"/>
      <c r="D25" s="69"/>
      <c r="E25" s="69"/>
      <c r="F25" s="69"/>
      <c r="G25" s="69"/>
      <c r="H25" s="69"/>
      <c r="I25" s="132">
        <f>'recepties en babyborrels'!B58</f>
        <v>0</v>
      </c>
      <c r="K25" s="98" t="s">
        <v>214</v>
      </c>
      <c r="L25" s="52">
        <f>SUM(O14:O23)+L24+O9+I11</f>
        <v>0</v>
      </c>
      <c r="M25" s="52" t="str">
        <f>IF(SUM(O14:O23)+L24+O9+I11 &lt;&gt;I14," Er is iets fout met de splitsingstabel","")</f>
        <v/>
      </c>
    </row>
    <row r="26" spans="1:21" ht="15" customHeight="1" x14ac:dyDescent="0.25">
      <c r="A26" s="102" t="str">
        <f>IF('recepties en babyborrels'!B39="ja","Er vallen 2 hapjes weg.","")</f>
        <v/>
      </c>
      <c r="B26" s="69"/>
      <c r="D26" s="69"/>
      <c r="E26" s="69"/>
      <c r="F26" s="69"/>
      <c r="G26" s="69"/>
      <c r="H26" s="69"/>
      <c r="I26" s="132">
        <f>'recepties en babyborrels'!B59</f>
        <v>0</v>
      </c>
      <c r="J26" s="161" t="str">
        <f>"De eventuele korting contant van 2 %, in het huidig voorstel is dit € " &amp; ROUND(I14-I15,2) &amp; " is nog niet in bovenstaande splitsing verwerkt."</f>
        <v>De eventuele korting contant van 2 %, in het huidig voorstel is dit € 0 is nog niet in bovenstaande splitsing verwerkt.</v>
      </c>
      <c r="K26" s="161"/>
      <c r="L26" s="161"/>
      <c r="M26" s="161"/>
      <c r="N26" s="161"/>
      <c r="O26" s="161"/>
      <c r="P26" s="161"/>
      <c r="Q26" s="161"/>
      <c r="R26" s="161"/>
    </row>
    <row r="27" spans="1:21" ht="15.75" thickBot="1" x14ac:dyDescent="0.3">
      <c r="A27" s="103" t="str">
        <f>IF('recepties en babyborrels'!B41&lt;&gt;"","extra inbegrepen: "&amp;'recepties en babyborrels'!B41,"")</f>
        <v/>
      </c>
      <c r="B27" s="69"/>
      <c r="D27" s="69"/>
      <c r="E27" s="69"/>
      <c r="F27" s="69"/>
      <c r="G27" s="69"/>
      <c r="H27" s="69"/>
      <c r="I27" s="104" t="str">
        <f>'recepties en babyborrels'!G46</f>
        <v>Voorkeur Achtergrondmuziek:</v>
      </c>
      <c r="J27" s="162"/>
      <c r="K27" s="162"/>
      <c r="L27" s="162"/>
      <c r="M27" s="162"/>
      <c r="N27" s="162"/>
      <c r="O27" s="162"/>
      <c r="P27" s="162"/>
      <c r="Q27" s="162"/>
      <c r="R27" s="162"/>
    </row>
    <row r="28" spans="1:21" ht="15.75" thickTop="1" x14ac:dyDescent="0.25">
      <c r="A28" s="103" t="str">
        <f>IF('recepties en babyborrels'!B43&lt;&gt;"", "extra inbegrepen: "&amp;'recepties en babyborrels'!B43,"")</f>
        <v/>
      </c>
      <c r="B28" s="69"/>
      <c r="D28" s="69"/>
      <c r="E28" s="69"/>
      <c r="F28" s="69"/>
      <c r="G28" s="69"/>
      <c r="H28" s="69"/>
      <c r="I28" s="104" t="str">
        <f>'recepties en babyborrels'!H46</f>
        <v>Geen voorkeur</v>
      </c>
      <c r="J28" s="1" t="str">
        <f>IF(J29&lt;&gt;"","Detail van de borrel:","")</f>
        <v>Detail van de borrel:</v>
      </c>
    </row>
    <row r="29" spans="1:21" x14ac:dyDescent="0.25">
      <c r="A29" s="103" t="str">
        <f>IF('recepties en babyborrels'!B45&lt;&gt;"", "extra inbegrepen: "&amp;'recepties en babyborrels'!B45,"")</f>
        <v/>
      </c>
      <c r="B29" s="69"/>
      <c r="D29" s="69"/>
      <c r="E29" s="69"/>
      <c r="F29" s="69"/>
      <c r="G29" s="69"/>
      <c r="H29" s="69"/>
      <c r="I29" s="104">
        <f>VLOOKUP(I28,matrixen!A500:B523,2,FALSE)</f>
        <v>0</v>
      </c>
      <c r="J29" s="50">
        <f>A20</f>
        <v>0</v>
      </c>
    </row>
    <row r="30" spans="1:21" x14ac:dyDescent="0.25">
      <c r="A30" s="103" t="str">
        <f>IF('recepties en babyborrels'!B81&lt;&gt;"", "extra voorgerecht: "&amp;'recepties en babyborrels'!B81,"")</f>
        <v/>
      </c>
      <c r="B30" s="69"/>
      <c r="D30" s="69"/>
      <c r="E30" s="69"/>
      <c r="F30" s="69"/>
      <c r="G30" s="69"/>
      <c r="H30" s="112"/>
      <c r="I30" s="164"/>
      <c r="J30" s="50">
        <f>'recepties en babyborrels'!J12</f>
        <v>0</v>
      </c>
      <c r="N30" s="50" t="str">
        <f>IF(A20=matrixen!M14,"gevolgd door een drankforfait voor de gehele avond","")</f>
        <v/>
      </c>
    </row>
    <row r="31" spans="1:21" x14ac:dyDescent="0.25">
      <c r="A31" s="103" t="str">
        <f>IF('recepties en babyborrels'!B83&lt;&gt;"", "extra voorgerecht: "&amp;'recepties en babyborrels'!B83,"")</f>
        <v/>
      </c>
      <c r="B31" s="69"/>
      <c r="D31" s="69"/>
      <c r="E31" s="69"/>
      <c r="F31" s="69"/>
      <c r="G31" s="69"/>
      <c r="H31" s="112"/>
      <c r="I31" s="165"/>
      <c r="J31" s="50">
        <f>'recepties en babyborrels'!J13</f>
        <v>0</v>
      </c>
    </row>
    <row r="32" spans="1:21" x14ac:dyDescent="0.25">
      <c r="A32" s="103" t="str">
        <f>IF('recepties en babyborrels'!B85&lt;&gt;"", "extra voorgerecht: "&amp;'recepties en babyborrels'!B85,"")</f>
        <v/>
      </c>
      <c r="B32" s="69"/>
      <c r="C32" s="69"/>
      <c r="D32" s="69"/>
      <c r="E32" s="69"/>
      <c r="F32" s="69"/>
      <c r="G32" s="69"/>
      <c r="H32" s="69"/>
      <c r="I32" s="165"/>
      <c r="J32" s="50">
        <f>'recepties en babyborrels'!J14</f>
        <v>0</v>
      </c>
    </row>
    <row r="33" spans="1:17" x14ac:dyDescent="0.25">
      <c r="A33" s="103" t="str">
        <f>IF('recepties en babyborrels'!B47&lt;&gt;"nee", "Klant wenst exclusiviteit op het domein en betaalt daarvoor een meerprijs van: € " &amp;'recepties en babyborrels'!E47,"")</f>
        <v/>
      </c>
      <c r="B33" s="69"/>
      <c r="C33" s="69"/>
      <c r="D33" s="69"/>
      <c r="E33" s="69"/>
      <c r="F33" s="69"/>
      <c r="G33" s="69"/>
      <c r="H33" s="69"/>
      <c r="I33" s="165"/>
      <c r="J33" s="50">
        <f>IF(OR($J$29=matrixen!$X$14,$J$29=matrixen!$Y$14,$J$29=matrixen!$Z$14,$J$29=matrixen!$AA$14),'recepties en babyborrels'!B25,'recepties en babyborrels'!J15)</f>
        <v>0</v>
      </c>
    </row>
    <row r="34" spans="1:17" x14ac:dyDescent="0.25">
      <c r="A34" s="50" t="s">
        <v>330</v>
      </c>
      <c r="B34" s="69"/>
      <c r="C34" s="69"/>
      <c r="D34" s="69"/>
      <c r="E34" s="69"/>
      <c r="F34" s="69"/>
      <c r="G34" s="63"/>
      <c r="H34" s="63"/>
      <c r="I34" s="165"/>
      <c r="J34" s="50">
        <f>IF(OR($J$29=matrixen!$X$14,$J$29=matrixen!$Y$14,$J$29=matrixen!$Z$14,$J$29=matrixen!$AA$14),'recepties en babyborrels'!B26,'recepties en babyborrels'!J16)</f>
        <v>0</v>
      </c>
    </row>
    <row r="35" spans="1:17" x14ac:dyDescent="0.25">
      <c r="A35" s="109" t="str">
        <f>'recepties en babyborrels'!B33</f>
        <v>Alle drank na de receptie komt op één rekening en wordt door de organisator van het feest betaald</v>
      </c>
      <c r="B35" s="69"/>
      <c r="C35" s="69"/>
      <c r="D35" s="69"/>
      <c r="E35" s="69"/>
      <c r="F35" s="69"/>
      <c r="G35" s="63"/>
      <c r="H35" s="63"/>
      <c r="I35" s="165"/>
      <c r="J35" s="50">
        <f>IF(OR($J$29=matrixen!$X$14,$J$29=matrixen!$Y$14,$J$29=matrixen!$Z$14,$J$29=matrixen!$AA$14),'recepties en babyborrels'!B27,'recepties en babyborrels'!J17)</f>
        <v>0</v>
      </c>
    </row>
    <row r="36" spans="1:17" x14ac:dyDescent="0.25">
      <c r="A36" s="163" t="str">
        <f>'recepties en babyborrels'!J64 &amp; " " &amp;'recepties en babyborrels'!K64</f>
        <v>Wijze van betaling: Storting op BE 48 4631 1391 2127 min. 7 dagen voor het feest, 2% korting</v>
      </c>
      <c r="B36" s="163"/>
      <c r="C36" s="163"/>
      <c r="D36" s="163"/>
      <c r="E36" s="163"/>
      <c r="F36" s="163"/>
      <c r="G36" s="163"/>
      <c r="H36" s="163"/>
      <c r="I36" s="163"/>
      <c r="J36" s="50">
        <f>IF(OR($J$29=matrixen!$X$14,$J$29=matrixen!$Y$14,$J$29=matrixen!$Z$14,$J$29=matrixen!$AA$14),'recepties en babyborrels'!B28,'recepties en babyborrels'!J18)</f>
        <v>0</v>
      </c>
    </row>
    <row r="37" spans="1:17" x14ac:dyDescent="0.25">
      <c r="A37" s="163"/>
      <c r="B37" s="163"/>
      <c r="C37" s="163"/>
      <c r="D37" s="163"/>
      <c r="E37" s="163"/>
      <c r="F37" s="163"/>
      <c r="G37" s="163"/>
      <c r="H37" s="163"/>
      <c r="I37" s="163"/>
      <c r="J37" s="50">
        <f>IF(OR($J$29=matrixen!$X$14,$J$29=matrixen!$Y$14,$J$29=matrixen!$Z$14,$J$29=matrixen!$AA$14),'recepties en babyborrels'!F23,'recepties en babyborrels'!J19)</f>
        <v>0</v>
      </c>
    </row>
    <row r="38" spans="1:17" x14ac:dyDescent="0.25">
      <c r="A38" s="145" t="str">
        <f>"Opmerking: " &amp;'recepties en babyborrels'!F66</f>
        <v xml:space="preserve">Opmerking: </v>
      </c>
      <c r="B38" s="145"/>
      <c r="C38" s="145"/>
      <c r="D38" s="145"/>
      <c r="E38" s="145"/>
      <c r="F38" s="145"/>
      <c r="G38" s="145"/>
      <c r="H38" s="145"/>
      <c r="I38" s="145"/>
      <c r="J38" s="50">
        <f>IF(OR($J$29=matrixen!$X$14,$J$29=matrixen!$Y$14,$J$29=matrixen!$Z$14,$J$29=matrixen!$AA$14),'recepties en babyborrels'!F24,'recepties en babyborrels'!J20)</f>
        <v>0</v>
      </c>
      <c r="Q38" s="104">
        <f>IF(OR($J$29=matrixen!$X$14,$J$29=matrixen!$Y$14,$J$29=matrixen!$Z$14,$J$29=matrixen!$AA$14),'recepties en babyborrels'!F36,'recepties en babyborrels'!J30)</f>
        <v>0</v>
      </c>
    </row>
    <row r="39" spans="1:17" x14ac:dyDescent="0.25">
      <c r="A39" s="145"/>
      <c r="B39" s="145"/>
      <c r="C39" s="145"/>
      <c r="D39" s="145"/>
      <c r="E39" s="145"/>
      <c r="F39" s="145"/>
      <c r="G39" s="145"/>
      <c r="H39" s="145"/>
      <c r="I39" s="145"/>
      <c r="J39" s="50">
        <f>IF(OR($J$29=matrixen!$X$14,$J$29=matrixen!$Y$14,$J$29=matrixen!$Z$14,$J$29=matrixen!$AA$14),'recepties en babyborrels'!F25,'recepties en babyborrels'!J21)</f>
        <v>0</v>
      </c>
      <c r="Q39" s="104">
        <f>IF(OR($J$29=matrixen!$X$14,$J$29=matrixen!$Y$14,$J$29=matrixen!$Z$14,$J$29=matrixen!$AA$14),'recepties en babyborrels'!F37,'recepties en babyborrels'!J31)</f>
        <v>0</v>
      </c>
    </row>
    <row r="40" spans="1:17" x14ac:dyDescent="0.25">
      <c r="A40" s="145"/>
      <c r="B40" s="145"/>
      <c r="C40" s="145"/>
      <c r="D40" s="145"/>
      <c r="E40" s="145"/>
      <c r="F40" s="145"/>
      <c r="G40" s="145"/>
      <c r="H40" s="145"/>
      <c r="I40" s="145"/>
      <c r="J40" s="50">
        <f>IF(OR($J$29=matrixen!$X$14,$J$29=matrixen!$Y$14,$J$29=matrixen!$Z$14,$J$29=matrixen!$AA$14),'recepties en babyborrels'!F26,'recepties en babyborrels'!J22)</f>
        <v>0</v>
      </c>
      <c r="Q40" s="104">
        <f>IF(OR($J$29=matrixen!$X$14,$J$29=matrixen!$Y$14,$J$29=matrixen!$Z$14,$J$29=matrixen!$AA$14),'recepties en babyborrels'!F38,'recepties en babyborrels'!J32)</f>
        <v>0</v>
      </c>
    </row>
    <row r="41" spans="1:17" x14ac:dyDescent="0.25">
      <c r="A41" s="145"/>
      <c r="B41" s="145"/>
      <c r="C41" s="145"/>
      <c r="D41" s="145"/>
      <c r="E41" s="145"/>
      <c r="F41" s="145"/>
      <c r="G41" s="145"/>
      <c r="H41" s="145"/>
      <c r="I41" s="145"/>
      <c r="J41" s="50">
        <f>IF(OR($J$29=matrixen!$X$14,$J$29=matrixen!$Y$14,$J$29=matrixen!$Z$14,$J$29=matrixen!$AA$14),'recepties en babyborrels'!F27,'recepties en babyborrels'!J23)</f>
        <v>0</v>
      </c>
      <c r="Q41" s="104">
        <f>IF(OR($J$29=matrixen!$X$14,$J$29=matrixen!$Y$14,$J$29=matrixen!$Z$14,$J$29=matrixen!$AA$14),'recepties en babyborrels'!F39,'recepties en babyborrels'!J33)</f>
        <v>0</v>
      </c>
    </row>
    <row r="42" spans="1:17" x14ac:dyDescent="0.25">
      <c r="A42" s="145"/>
      <c r="B42" s="145"/>
      <c r="C42" s="145"/>
      <c r="D42" s="145"/>
      <c r="E42" s="145"/>
      <c r="F42" s="145"/>
      <c r="G42" s="145"/>
      <c r="H42" s="145"/>
      <c r="I42" s="145"/>
      <c r="J42" s="50">
        <f>IF(OR($J$29=matrixen!$X$14,$J$29=matrixen!$Y$14,$J$29=matrixen!$Z$14,$J$29=matrixen!$AA$14),'recepties en babyborrels'!F28,'recepties en babyborrels'!J24)</f>
        <v>0</v>
      </c>
      <c r="Q42" s="104">
        <f>IF(OR($J$29=matrixen!$X$14,$J$29=matrixen!$Y$14,$J$29=matrixen!$Z$14,$J$29=matrixen!$AA$14),'recepties en babyborrels'!F40,'recepties en babyborrels'!J34)</f>
        <v>0</v>
      </c>
    </row>
    <row r="43" spans="1:17" x14ac:dyDescent="0.25">
      <c r="B43" s="64"/>
      <c r="C43" s="51" t="s">
        <v>202</v>
      </c>
      <c r="D43" s="56" t="str">
        <f>'recepties en babyborrels'!K66</f>
        <v>nee</v>
      </c>
      <c r="G43" s="51" t="s">
        <v>138</v>
      </c>
      <c r="H43" s="56" t="str">
        <f>'recepties en babyborrels'!G42</f>
        <v>nee</v>
      </c>
      <c r="J43" s="50">
        <f>IF(OR($J$29=matrixen!$X$14,$J$29=matrixen!$Y$14,$J$29=matrixen!$Z$14,$J$29=matrixen!$AA$14),'recepties en babyborrels'!F29,'recepties en babyborrels'!J25)</f>
        <v>0</v>
      </c>
      <c r="Q43" s="104">
        <f>IF(OR($J$29=matrixen!$X$14,$J$29=matrixen!$Y$14,$J$29=matrixen!$Z$14,$J$29=matrixen!$AA$14),'recepties en babyborrels'!F41,'recepties en babyborrels'!J35)</f>
        <v>0</v>
      </c>
    </row>
    <row r="44" spans="1:17" x14ac:dyDescent="0.25">
      <c r="C44" s="51" t="s">
        <v>141</v>
      </c>
      <c r="D44" s="56" t="str">
        <f>'recepties en babyborrels'!G44</f>
        <v>nee</v>
      </c>
      <c r="F44" s="67"/>
      <c r="G44" s="51" t="s">
        <v>139</v>
      </c>
      <c r="H44" s="56" t="str">
        <f>'recepties en babyborrels'!I42</f>
        <v>nee</v>
      </c>
      <c r="J44" s="50">
        <f>IF(OR($J$29=matrixen!$X$14,$J$29=matrixen!$Y$14,$J$29=matrixen!$Z$14,$J$29=matrixen!$AA$14),'recepties en babyborrels'!F30,'recepties en babyborrels'!J26)</f>
        <v>0</v>
      </c>
      <c r="Q44" s="104">
        <f>IF(OR($J$29=matrixen!$X$14,$J$29=matrixen!$Y$14,$J$29=matrixen!$Z$14,$J$29=matrixen!$AA$14),"",'recepties en babyborrels'!J36)</f>
        <v>0</v>
      </c>
    </row>
    <row r="45" spans="1:17" x14ac:dyDescent="0.25">
      <c r="C45" s="51" t="str">
        <f>'recepties en babyborrels'!H44</f>
        <v xml:space="preserve">Allergenen: </v>
      </c>
      <c r="D45" s="56" t="str">
        <f>'recepties en babyborrels'!I44</f>
        <v>nee</v>
      </c>
      <c r="F45" s="64"/>
      <c r="G45" s="51" t="s">
        <v>140</v>
      </c>
      <c r="H45" s="56" t="str">
        <f>'recepties en babyborrels'!K42</f>
        <v>nee</v>
      </c>
      <c r="J45" s="50">
        <f>IF(OR($J$29=matrixen!$X$14,$J$29=matrixen!$Y$14,$J$29=matrixen!$Z$14,$J$29=matrixen!$AA$14),'recepties en babyborrels'!F31,'recepties en babyborrels'!J27)</f>
        <v>0</v>
      </c>
      <c r="Q45" s="104">
        <f>IF(OR($J$29=matrixen!$X$14,$J$29=matrixen!$Y$14,$J$29=matrixen!$Z$14,$J$29=matrixen!$AA$14),'recepties en babyborrels'!F43,'recepties en babyborrels'!J37)</f>
        <v>0</v>
      </c>
    </row>
    <row r="46" spans="1:17" x14ac:dyDescent="0.25">
      <c r="A46" s="64" t="s">
        <v>162</v>
      </c>
      <c r="I46" s="60">
        <f>C7-9</f>
        <v>-9</v>
      </c>
      <c r="J46" s="50">
        <f>IF(OR($J$29=matrixen!$X$14,$J$29=matrixen!$Y$14,$J$29=matrixen!$Z$14,$J$29=matrixen!$AA$14),'recepties en babyborrels'!F32,'recepties en babyborrels'!J28)</f>
        <v>0</v>
      </c>
      <c r="Q46" s="104">
        <f>IF(OR($J$29=matrixen!$X$14,$J$29=matrixen!$Y$14,$J$29=matrixen!$Z$14,$J$29=matrixen!$AA$14),"",'recepties en babyborrels'!J38)</f>
        <v>0</v>
      </c>
    </row>
    <row r="47" spans="1:17" x14ac:dyDescent="0.25">
      <c r="A47" s="64" t="s">
        <v>163</v>
      </c>
      <c r="J47" s="50">
        <f>IF(OR($J$29=matrixen!$X$14,$J$29=matrixen!$Y$14,$J$29=matrixen!$Z$14,$J$29=matrixen!$AA$14),'recepties en babyborrels'!F33,'recepties en babyborrels'!J29)</f>
        <v>0</v>
      </c>
      <c r="Q47" s="104">
        <f>IF(OR($J$29=matrixen!$X$14,$J$29=matrixen!$Y$14,$J$29=matrixen!$Z$14,$J$29=matrixen!$AA$14),"",'recepties en babyborrels'!J39)</f>
        <v>0</v>
      </c>
    </row>
    <row r="48" spans="1:17" x14ac:dyDescent="0.25">
      <c r="A48" s="67" t="s">
        <v>164</v>
      </c>
    </row>
    <row r="49" spans="1:10" x14ac:dyDescent="0.25">
      <c r="A49" s="67" t="s">
        <v>165</v>
      </c>
      <c r="H49" s="68" t="s">
        <v>142</v>
      </c>
      <c r="I49" s="70" t="str">
        <f>'recepties en babyborrels'!K62</f>
        <v>ja</v>
      </c>
      <c r="J49" s="50" t="str">
        <f>IF('recepties en babyborrels'!$D$30&gt;0,"Extra dessert: ","")</f>
        <v/>
      </c>
    </row>
    <row r="50" spans="1:10" x14ac:dyDescent="0.25">
      <c r="A50" s="67" t="s">
        <v>166</v>
      </c>
      <c r="J50" s="50" t="str">
        <f>IF('recepties en babyborrels'!$D$30&gt;0,'recepties en babyborrels'!F30,"")</f>
        <v/>
      </c>
    </row>
    <row r="51" spans="1:10" x14ac:dyDescent="0.25">
      <c r="C51" s="64" t="s">
        <v>167</v>
      </c>
      <c r="H51" s="64" t="s">
        <v>168</v>
      </c>
    </row>
    <row r="63" spans="1:10" x14ac:dyDescent="0.25">
      <c r="J63" s="50">
        <f>IF(OR($J$29=matrixen!$X$14,$J$29=matrixen!$Y$14,$J$29=matrixen!$Z$14),'recepties en babyborrels'!F47,'recepties en babyborrels'!H41)</f>
        <v>0</v>
      </c>
    </row>
  </sheetData>
  <sheetProtection algorithmName="SHA-512" hashValue="wsyRGaL3mRf2/GFNZD5smCKIsxcGOlwDXnQM9pZUgekmjTq98/4l28Bf1AM0KtfyrHnJpC8Xp8ugYDdlDiDm+w==" saltValue="tHb0YimUp99PCTBV1D72eg==" spinCount="100000" sheet="1" objects="1" scenarios="1" selectLockedCells="1"/>
  <mergeCells count="13">
    <mergeCell ref="R3:R4"/>
    <mergeCell ref="A38:I42"/>
    <mergeCell ref="O3:O4"/>
    <mergeCell ref="P3:P4"/>
    <mergeCell ref="Q3:Q4"/>
    <mergeCell ref="M10:N10"/>
    <mergeCell ref="J13:L13"/>
    <mergeCell ref="M13:Q13"/>
    <mergeCell ref="J15:R15"/>
    <mergeCell ref="J17:R17"/>
    <mergeCell ref="O24:R24"/>
    <mergeCell ref="J26:R27"/>
    <mergeCell ref="A36:I37"/>
  </mergeCells>
  <conditionalFormatting sqref="D44">
    <cfRule type="cellIs" dxfId="14" priority="14" operator="equal">
      <formula>"ja"</formula>
    </cfRule>
    <cfRule type="cellIs" dxfId="13" priority="15" operator="equal">
      <formula>"ja"</formula>
    </cfRule>
  </conditionalFormatting>
  <conditionalFormatting sqref="D45">
    <cfRule type="cellIs" dxfId="12" priority="12" operator="equal">
      <formula>"ja"</formula>
    </cfRule>
    <cfRule type="cellIs" dxfId="11" priority="13" operator="equal">
      <formula>"ja"</formula>
    </cfRule>
  </conditionalFormatting>
  <conditionalFormatting sqref="H43">
    <cfRule type="cellIs" dxfId="10" priority="10" operator="equal">
      <formula>"ja"</formula>
    </cfRule>
    <cfRule type="cellIs" dxfId="9" priority="11" operator="equal">
      <formula>"ja"</formula>
    </cfRule>
  </conditionalFormatting>
  <conditionalFormatting sqref="H44">
    <cfRule type="cellIs" dxfId="8" priority="8" operator="equal">
      <formula>"ja"</formula>
    </cfRule>
    <cfRule type="cellIs" dxfId="7" priority="9" operator="equal">
      <formula>"ja"</formula>
    </cfRule>
  </conditionalFormatting>
  <conditionalFormatting sqref="H45">
    <cfRule type="cellIs" dxfId="6" priority="6" operator="equal">
      <formula>"ja"</formula>
    </cfRule>
    <cfRule type="cellIs" dxfId="5" priority="7" operator="equal">
      <formula>"ja"</formula>
    </cfRule>
  </conditionalFormatting>
  <conditionalFormatting sqref="I49">
    <cfRule type="cellIs" dxfId="4" priority="5" operator="equal">
      <formula>"nee"</formula>
    </cfRule>
  </conditionalFormatting>
  <conditionalFormatting sqref="D43">
    <cfRule type="cellIs" dxfId="3" priority="3" operator="equal">
      <formula>"ja"</formula>
    </cfRule>
    <cfRule type="cellIs" dxfId="2" priority="4" operator="equal">
      <formula>"ja"</formula>
    </cfRule>
  </conditionalFormatting>
  <conditionalFormatting sqref="M13:Q13">
    <cfRule type="containsText" dxfId="1" priority="2" operator="containsText" text="onmogelijk">
      <formula>NOT(ISERROR(SEARCH("onmogelijk",M13)))</formula>
    </cfRule>
  </conditionalFormatting>
  <conditionalFormatting sqref="D21">
    <cfRule type="containsText" dxfId="0" priority="1" operator="containsText" text="a">
      <formula>NOT(ISERROR(SEARCH("a",D21)))</formula>
    </cfRule>
  </conditionalFormatting>
  <dataValidations disablePrompts="1" count="1">
    <dataValidation type="whole" allowBlank="1" showInputMessage="1" showErrorMessage="1" errorTitle="Fout" error="U kunt niet meer ingeven dan het totaal aantal volwassenen._x000a_" sqref="N12" xr:uid="{00000000-0002-0000-0300-000000000000}">
      <formula1>0</formula1>
      <formula2>K5</formula2>
    </dataValidation>
  </dataValidations>
  <pageMargins left="0.7" right="0.7" top="0.75" bottom="0.75" header="0.3" footer="0.3"/>
  <pageSetup paperSize="9" scale="93" orientation="portrait" r:id="rId1"/>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Druk_voorstel_af">
                <anchor moveWithCells="1" sizeWithCells="1">
                  <from>
                    <xdr:col>7</xdr:col>
                    <xdr:colOff>542925</xdr:colOff>
                    <xdr:row>1</xdr:row>
                    <xdr:rowOff>38100</xdr:rowOff>
                  </from>
                  <to>
                    <xdr:col>9</xdr:col>
                    <xdr:colOff>361950</xdr:colOff>
                    <xdr:row>3</xdr:row>
                    <xdr:rowOff>85725</xdr:rowOff>
                  </to>
                </anchor>
              </controlPr>
            </control>
          </mc:Choice>
        </mc:AlternateContent>
        <mc:AlternateContent xmlns:mc="http://schemas.openxmlformats.org/markup-compatibility/2006">
          <mc:Choice Requires="x14">
            <control shapeId="2050" r:id="rId5" name="Button 2">
              <controlPr defaultSize="0" print="0" autoFill="0" autoPict="0" macro="[0]!activeer">
                <anchor moveWithCells="1" sizeWithCells="1">
                  <from>
                    <xdr:col>18</xdr:col>
                    <xdr:colOff>171450</xdr:colOff>
                    <xdr:row>1</xdr:row>
                    <xdr:rowOff>171450</xdr:rowOff>
                  </from>
                  <to>
                    <xdr:col>19</xdr:col>
                    <xdr:colOff>342900</xdr:colOff>
                    <xdr:row>3</xdr:row>
                    <xdr:rowOff>47625</xdr:rowOff>
                  </to>
                </anchor>
              </controlPr>
            </control>
          </mc:Choice>
        </mc:AlternateContent>
        <mc:AlternateContent xmlns:mc="http://schemas.openxmlformats.org/markup-compatibility/2006">
          <mc:Choice Requires="x14">
            <control shapeId="2051" r:id="rId6" name="Button 3">
              <controlPr defaultSize="0" print="0" autoFill="0" autoPict="0" macro="[0]!desactiveer">
                <anchor moveWithCells="1" sizeWithCells="1">
                  <from>
                    <xdr:col>18</xdr:col>
                    <xdr:colOff>200025</xdr:colOff>
                    <xdr:row>3</xdr:row>
                    <xdr:rowOff>161925</xdr:rowOff>
                  </from>
                  <to>
                    <xdr:col>19</xdr:col>
                    <xdr:colOff>361950</xdr:colOff>
                    <xdr:row>4</xdr:row>
                    <xdr:rowOff>180975</xdr:rowOff>
                  </to>
                </anchor>
              </controlPr>
            </control>
          </mc:Choice>
        </mc:AlternateContent>
        <mc:AlternateContent xmlns:mc="http://schemas.openxmlformats.org/markup-compatibility/2006">
          <mc:Choice Requires="x14">
            <control shapeId="2052" r:id="rId7" name="Button 4">
              <controlPr defaultSize="0" print="0" autoFill="0" autoPict="0" macro="[0]!Blad4.BAH">
                <anchor moveWithCells="1" sizeWithCells="1">
                  <from>
                    <xdr:col>18</xdr:col>
                    <xdr:colOff>209550</xdr:colOff>
                    <xdr:row>5</xdr:row>
                    <xdr:rowOff>76200</xdr:rowOff>
                  </from>
                  <to>
                    <xdr:col>19</xdr:col>
                    <xdr:colOff>352425</xdr:colOff>
                    <xdr:row>6</xdr:row>
                    <xdr:rowOff>161925</xdr:rowOff>
                  </to>
                </anchor>
              </controlPr>
            </control>
          </mc:Choice>
        </mc:AlternateContent>
        <mc:AlternateContent xmlns:mc="http://schemas.openxmlformats.org/markup-compatibility/2006">
          <mc:Choice Requires="x14">
            <control shapeId="2053" r:id="rId8" name="Button 5">
              <controlPr defaultSize="0" print="0" autoFill="0" autoPict="0" macro="[0]!Druk_voorstel_1_af">
                <anchor moveWithCells="1" sizeWithCells="1">
                  <from>
                    <xdr:col>18</xdr:col>
                    <xdr:colOff>219075</xdr:colOff>
                    <xdr:row>7</xdr:row>
                    <xdr:rowOff>123825</xdr:rowOff>
                  </from>
                  <to>
                    <xdr:col>19</xdr:col>
                    <xdr:colOff>238125</xdr:colOff>
                    <xdr:row>8</xdr:row>
                    <xdr:rowOff>161925</xdr:rowOff>
                  </to>
                </anchor>
              </controlPr>
            </control>
          </mc:Choice>
        </mc:AlternateContent>
        <mc:AlternateContent xmlns:mc="http://schemas.openxmlformats.org/markup-compatibility/2006">
          <mc:Choice Requires="x14">
            <control shapeId="2054" r:id="rId9" name="Button 6">
              <controlPr defaultSize="0" print="0" autoFill="0" autoPict="0" macro="[0]!Druk_voorstel_2_af">
                <anchor moveWithCells="1" sizeWithCells="1">
                  <from>
                    <xdr:col>18</xdr:col>
                    <xdr:colOff>228600</xdr:colOff>
                    <xdr:row>9</xdr:row>
                    <xdr:rowOff>95250</xdr:rowOff>
                  </from>
                  <to>
                    <xdr:col>19</xdr:col>
                    <xdr:colOff>257175</xdr:colOff>
                    <xdr:row>10</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5</vt:i4>
      </vt:variant>
    </vt:vector>
  </HeadingPairs>
  <TitlesOfParts>
    <vt:vector size="9" baseType="lpstr">
      <vt:lpstr>recepties en babyborrels</vt:lpstr>
      <vt:lpstr>matrixen</vt:lpstr>
      <vt:lpstr>Algemene verkoopsvoorwaarden</vt:lpstr>
      <vt:lpstr>Reservatievoorstel</vt:lpstr>
      <vt:lpstr>'Algemene verkoopsvoorwaarden'!Afdrukbereik</vt:lpstr>
      <vt:lpstr>Reservatievoorstel!Afdrukbereik</vt:lpstr>
      <vt:lpstr>dessert</vt:lpstr>
      <vt:lpstr>dessertprijs</vt:lpstr>
      <vt:lpstr>hapjes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2022-11-03T17:01:26Z</dcterms:modified>
</cp:coreProperties>
</file>