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filterPrivacy="1" codeName="ThisWorkbook" defaultThemeVersion="124226"/>
  <xr:revisionPtr revIDLastSave="0" documentId="13_ncr:1_{C011ABD1-2770-4B91-8537-DE7AFFAE922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cepties en babyborrels" sheetId="2" r:id="rId1"/>
    <sheet name="matrixen" sheetId="1" state="hidden" r:id="rId2"/>
    <sheet name="Algemene verkoopsvoorwaarden" sheetId="3" r:id="rId3"/>
    <sheet name="Reservatievoorstel" sheetId="4" r:id="rId4"/>
  </sheets>
  <definedNames>
    <definedName name="_xlnm.Print_Area" localSheetId="2">'Algemene verkoopsvoorwaarden'!$A$1:$O$63</definedName>
    <definedName name="_xlnm.Print_Area" localSheetId="3">Reservatievoorstel!$A$1:$S$50</definedName>
    <definedName name="hapjes">'recepties en babyborrels'!$AA$69:$AA$111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4" l="1"/>
  <c r="E47" i="2" l="1"/>
  <c r="B46" i="2"/>
  <c r="I13" i="4" l="1"/>
  <c r="H13" i="4"/>
  <c r="B31" i="2"/>
  <c r="D33" i="2"/>
  <c r="D12" i="2"/>
  <c r="AA107" i="2" l="1"/>
  <c r="AA108" i="2"/>
  <c r="AA109" i="2"/>
  <c r="AA110" i="2"/>
  <c r="AA111" i="2"/>
  <c r="L1" i="2" l="1"/>
  <c r="F12" i="2" l="1"/>
  <c r="D14" i="2"/>
  <c r="B38" i="2" l="1"/>
  <c r="B23" i="2" l="1"/>
  <c r="AA70" i="2" l="1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63" i="2"/>
  <c r="AA164" i="2"/>
  <c r="AA165" i="2"/>
  <c r="AA166" i="2"/>
  <c r="AA167" i="2"/>
  <c r="AA168" i="2"/>
  <c r="AA169" i="2"/>
  <c r="AA170" i="2"/>
  <c r="AA171" i="2"/>
  <c r="AA172" i="2"/>
  <c r="AA173" i="2"/>
  <c r="AA69" i="2"/>
  <c r="B14" i="2" l="1"/>
  <c r="D25" i="2"/>
  <c r="D26" i="2"/>
  <c r="D24" i="2"/>
  <c r="F31" i="2"/>
  <c r="J17" i="2"/>
  <c r="B24" i="2" l="1"/>
  <c r="A26" i="4"/>
  <c r="F21" i="2"/>
  <c r="D29" i="2" l="1"/>
  <c r="A29" i="4" l="1"/>
  <c r="A28" i="4"/>
  <c r="A27" i="4"/>
  <c r="D47" i="2" l="1"/>
  <c r="D45" i="2"/>
  <c r="D43" i="2"/>
  <c r="AA57" i="2"/>
  <c r="AA58" i="2"/>
  <c r="AA59" i="2"/>
  <c r="AA60" i="2"/>
  <c r="AA61" i="2"/>
  <c r="AA62" i="2"/>
  <c r="AA63" i="2"/>
  <c r="AA64" i="2"/>
  <c r="AA65" i="2"/>
  <c r="AA56" i="2"/>
  <c r="D41" i="2" l="1"/>
  <c r="O9" i="4"/>
  <c r="M11" i="4" s="1"/>
  <c r="F7" i="4" l="1"/>
  <c r="AA53" i="2"/>
  <c r="AA54" i="2"/>
  <c r="AA52" i="2"/>
  <c r="AA23" i="2"/>
  <c r="AA22" i="2"/>
  <c r="A35" i="4" l="1"/>
  <c r="H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6" i="2"/>
  <c r="J15" i="2"/>
  <c r="J14" i="2"/>
  <c r="J13" i="2"/>
  <c r="J12" i="2"/>
  <c r="F19" i="2"/>
  <c r="F18" i="2"/>
  <c r="F17" i="2"/>
  <c r="F16" i="2"/>
  <c r="F15" i="2"/>
  <c r="F14" i="2"/>
  <c r="F13" i="2"/>
  <c r="AA49" i="2" l="1"/>
  <c r="AA48" i="2"/>
  <c r="F45" i="2" l="1"/>
  <c r="C44" i="4"/>
  <c r="I16" i="4" l="1"/>
  <c r="K23" i="4" l="1"/>
  <c r="K22" i="4"/>
  <c r="K21" i="4"/>
  <c r="K20" i="4"/>
  <c r="K19" i="4"/>
  <c r="K18" i="4"/>
  <c r="L11" i="4"/>
  <c r="B3" i="2"/>
  <c r="A23" i="4" l="1"/>
  <c r="A37" i="4" l="1"/>
  <c r="L48" i="2"/>
  <c r="D22" i="4" s="1"/>
  <c r="A22" i="4" s="1"/>
  <c r="D36" i="2"/>
  <c r="D42" i="4" l="1"/>
  <c r="K67" i="2"/>
  <c r="J44" i="3" l="1"/>
  <c r="AA11" i="2" l="1"/>
  <c r="D6" i="2" s="1"/>
  <c r="I24" i="4"/>
  <c r="B6" i="4"/>
  <c r="A6" i="4"/>
  <c r="A34" i="4"/>
  <c r="I11" i="4"/>
  <c r="C5" i="4"/>
  <c r="C7" i="4"/>
  <c r="I45" i="4" s="1"/>
  <c r="I48" i="4"/>
  <c r="D44" i="4"/>
  <c r="D43" i="4"/>
  <c r="H44" i="4"/>
  <c r="H43" i="4"/>
  <c r="H42" i="4"/>
  <c r="H9" i="4"/>
  <c r="H8" i="4"/>
  <c r="E12" i="4"/>
  <c r="L8" i="4" s="1"/>
  <c r="D12" i="4"/>
  <c r="K8" i="4" s="1"/>
  <c r="D11" i="4"/>
  <c r="K7" i="4" s="1"/>
  <c r="D10" i="4"/>
  <c r="K6" i="4" s="1"/>
  <c r="D9" i="4"/>
  <c r="K5" i="4" s="1"/>
  <c r="C3" i="4"/>
  <c r="C4" i="4"/>
  <c r="C2" i="4"/>
  <c r="M51" i="3"/>
  <c r="G57" i="3" s="1"/>
  <c r="AA47" i="2"/>
  <c r="AA46" i="2"/>
  <c r="AA43" i="2"/>
  <c r="AA44" i="2"/>
  <c r="AA42" i="2"/>
  <c r="AA30" i="2"/>
  <c r="AA31" i="2"/>
  <c r="AA32" i="2"/>
  <c r="AA33" i="2"/>
  <c r="AA34" i="2"/>
  <c r="AA35" i="2"/>
  <c r="AA36" i="2"/>
  <c r="AA37" i="2"/>
  <c r="AA38" i="2"/>
  <c r="AA39" i="2"/>
  <c r="AA40" i="2"/>
  <c r="AA29" i="2"/>
  <c r="AA24" i="2"/>
  <c r="AA25" i="2"/>
  <c r="AA26" i="2"/>
  <c r="AA27" i="2"/>
  <c r="AA13" i="2"/>
  <c r="AA14" i="2"/>
  <c r="AA15" i="2"/>
  <c r="AA16" i="2"/>
  <c r="AA17" i="2"/>
  <c r="AA18" i="2"/>
  <c r="AA19" i="2"/>
  <c r="AA20" i="2"/>
  <c r="AA21" i="2"/>
  <c r="AA12" i="2"/>
  <c r="J45" i="2"/>
  <c r="J44" i="2"/>
  <c r="E33" i="2"/>
  <c r="L58" i="2" s="1"/>
  <c r="J35" i="4"/>
  <c r="J34" i="4"/>
  <c r="D21" i="2"/>
  <c r="L50" i="2" s="1"/>
  <c r="J33" i="4"/>
  <c r="Q2" i="4" l="1"/>
  <c r="M8" i="4"/>
  <c r="N8" i="4" s="1"/>
  <c r="Q8" i="4" s="1"/>
  <c r="R8" i="4" s="1"/>
  <c r="J23" i="4"/>
  <c r="J22" i="4"/>
  <c r="J21" i="4"/>
  <c r="J20" i="4"/>
  <c r="D8" i="4"/>
  <c r="B45" i="3"/>
  <c r="L49" i="2"/>
  <c r="H49" i="2" s="1"/>
  <c r="A20" i="4" s="1"/>
  <c r="A25" i="4"/>
  <c r="I50" i="2"/>
  <c r="H50" i="2"/>
  <c r="D21" i="4" s="1"/>
  <c r="A21" i="4" s="1"/>
  <c r="J32" i="4" l="1"/>
  <c r="J43" i="4" s="1"/>
  <c r="N33" i="4"/>
  <c r="P3" i="4"/>
  <c r="P6" i="4"/>
  <c r="P7" i="4"/>
  <c r="P5" i="4"/>
  <c r="P2" i="4"/>
  <c r="D9" i="2"/>
  <c r="D7" i="2"/>
  <c r="O8" i="4"/>
  <c r="Q42" i="4" l="1"/>
  <c r="J39" i="4"/>
  <c r="J62" i="4"/>
  <c r="J38" i="4"/>
  <c r="J36" i="4"/>
  <c r="Q43" i="4"/>
  <c r="J45" i="4"/>
  <c r="J30" i="4"/>
  <c r="J50" i="4"/>
  <c r="Q47" i="4"/>
  <c r="J41" i="4"/>
  <c r="J44" i="4"/>
  <c r="J40" i="4"/>
  <c r="Q46" i="4"/>
  <c r="J48" i="4"/>
  <c r="J46" i="4"/>
  <c r="J37" i="4"/>
  <c r="Q44" i="4"/>
  <c r="Q45" i="4"/>
  <c r="J47" i="4"/>
  <c r="Q50" i="4"/>
  <c r="Q41" i="4"/>
  <c r="J42" i="4"/>
  <c r="J49" i="4"/>
  <c r="Q48" i="4"/>
  <c r="Q49" i="4"/>
  <c r="H7" i="2"/>
  <c r="J7" i="2"/>
  <c r="N12" i="4"/>
  <c r="J15" i="4" l="1"/>
  <c r="J14" i="4"/>
  <c r="J17" i="4"/>
  <c r="J16" i="4"/>
  <c r="J19" i="4" l="1"/>
  <c r="J18" i="4"/>
  <c r="E10" i="4"/>
  <c r="L6" i="4" s="1"/>
  <c r="E9" i="4" l="1"/>
  <c r="A17" i="4" s="1"/>
  <c r="E11" i="4"/>
  <c r="L7" i="4" s="1"/>
  <c r="I10" i="4" l="1"/>
  <c r="Q1" i="4"/>
  <c r="L5" i="4" s="1"/>
  <c r="I12" i="4" l="1"/>
  <c r="Q9" i="4" s="1"/>
  <c r="P9" i="4" s="1"/>
  <c r="M5" i="4"/>
  <c r="I14" i="4" l="1"/>
  <c r="F68" i="2" s="1"/>
  <c r="F71" i="2" s="1"/>
  <c r="F72" i="2" s="1"/>
  <c r="I15" i="4" s="1"/>
  <c r="J26" i="4" s="1"/>
  <c r="O24" i="4"/>
  <c r="L24" i="4"/>
  <c r="J24" i="4" s="1"/>
  <c r="M13" i="4"/>
  <c r="M14" i="4"/>
  <c r="O14" i="4" s="1"/>
  <c r="M18" i="4"/>
  <c r="O18" i="4" s="1"/>
  <c r="O5" i="4"/>
  <c r="M7" i="4"/>
  <c r="M6" i="4"/>
  <c r="N6" i="4" s="1"/>
  <c r="Q6" i="4" s="1"/>
  <c r="N5" i="4"/>
  <c r="Q5" i="4" s="1"/>
  <c r="N24" i="4" l="1"/>
  <c r="K24" i="4"/>
  <c r="M24" i="4"/>
  <c r="M21" i="4"/>
  <c r="O21" i="4" s="1"/>
  <c r="R6" i="4"/>
  <c r="O7" i="4"/>
  <c r="M22" i="4"/>
  <c r="O22" i="4" s="1"/>
  <c r="M19" i="4"/>
  <c r="O19" i="4" s="1"/>
  <c r="M16" i="4"/>
  <c r="O16" i="4" s="1"/>
  <c r="R5" i="4"/>
  <c r="N7" i="4"/>
  <c r="Q7" i="4" s="1"/>
  <c r="O6" i="4"/>
  <c r="M20" i="4"/>
  <c r="O20" i="4" s="1"/>
  <c r="R7" i="4" l="1"/>
  <c r="M23" i="4"/>
  <c r="O23" i="4" s="1"/>
  <c r="L25" i="4" s="1"/>
  <c r="M25" i="4" l="1"/>
</calcChain>
</file>

<file path=xl/sharedStrings.xml><?xml version="1.0" encoding="utf-8"?>
<sst xmlns="http://schemas.openxmlformats.org/spreadsheetml/2006/main" count="724" uniqueCount="429">
  <si>
    <t>Pineau des charentes wit</t>
  </si>
  <si>
    <t>Maison (basis safari)</t>
  </si>
  <si>
    <t>Kir royale</t>
  </si>
  <si>
    <t>Sherry dry</t>
  </si>
  <si>
    <t>Porto</t>
  </si>
  <si>
    <t>Martini (wit/rood)</t>
  </si>
  <si>
    <t>Kir</t>
  </si>
  <si>
    <t>Schuimwijn</t>
  </si>
  <si>
    <t>Warme toostjes per stuk</t>
  </si>
  <si>
    <t>Koude toostjes per stuk</t>
  </si>
  <si>
    <t>Nootjes, chips en zoutkoekjes zoveel u wenst,  per pers.</t>
  </si>
  <si>
    <t>aperitiefglaasjes per stuk</t>
  </si>
  <si>
    <t>Rauwe groenten (wortel, bloemkool, cocktailsaus) prijs per persoon:</t>
  </si>
  <si>
    <t>Oesters per stuk warm of koud</t>
  </si>
  <si>
    <t xml:space="preserve">€ </t>
  </si>
  <si>
    <t>“3 koude voorgerechtjes”</t>
  </si>
  <si>
    <t>koud hapje met gerookte zalm</t>
  </si>
  <si>
    <t>koud hapje met grijze garnalen</t>
  </si>
  <si>
    <t>“soepje”</t>
  </si>
  <si>
    <t>1 mini soepje tomatenroom of vissoepje</t>
  </si>
  <si>
    <t>“3 warme gerechtjes”</t>
  </si>
  <si>
    <t>kippenboutje</t>
  </si>
  <si>
    <t>mini loempia</t>
  </si>
  <si>
    <t>mini croque monsieur</t>
  </si>
  <si>
    <t>“2 dessertjes”</t>
  </si>
  <si>
    <t>mini-brochetje met druifje, ananas en meloenbolletje</t>
  </si>
  <si>
    <t>mini confituurtaartje</t>
  </si>
  <si>
    <t>Met deze formule hebben uw gasten ook een maaltijd genomen.</t>
  </si>
  <si>
    <t xml:space="preserve">All-in maaltijd - receptieformule van maximaal 3u30 </t>
  </si>
  <si>
    <t>Verbruik daarbuiten wordt extra gerekend</t>
  </si>
  <si>
    <t xml:space="preserve">Buffetje no 1: </t>
  </si>
  <si>
    <t>Mini broodjes</t>
  </si>
  <si>
    <t>Gekookte ham</t>
  </si>
  <si>
    <t>Gerookte ham</t>
  </si>
  <si>
    <t>pastei</t>
  </si>
  <si>
    <t>Tomatenroomsoep</t>
  </si>
  <si>
    <t>Koffie</t>
  </si>
  <si>
    <t>Javanais</t>
  </si>
  <si>
    <t>Speculoostaart</t>
  </si>
  <si>
    <t>(naarmate de groep vergroot kan een derde soort dessert gezet worden)</t>
  </si>
  <si>
    <t>Chaumes</t>
  </si>
  <si>
    <t>Blauwschimmelkaas (vb Castella)</t>
  </si>
  <si>
    <t>Munster (= pikant)</t>
  </si>
  <si>
    <t>Belegen hoevekaas (vb  Sparkin)</t>
  </si>
  <si>
    <t>Brie</t>
  </si>
  <si>
    <t>Maredsous</t>
  </si>
  <si>
    <t>Stokbrood</t>
  </si>
  <si>
    <t>Boter</t>
  </si>
  <si>
    <t xml:space="preserve">Versierd met druiven </t>
  </si>
  <si>
    <t>Op de tafels:</t>
  </si>
  <si>
    <t>Potjes met pandalusgarnalen en cocktailsaus</t>
  </si>
  <si>
    <t>Er wordt rondgekomen met 5 warme hapjes per persoon</t>
  </si>
  <si>
    <t xml:space="preserve"> </t>
  </si>
  <si>
    <t>gerookte zalm</t>
  </si>
  <si>
    <t>parmaham</t>
  </si>
  <si>
    <t>américain préparé</t>
  </si>
  <si>
    <t>Belegd met:</t>
  </si>
  <si>
    <t>grijze garnalen</t>
  </si>
  <si>
    <t>zalmsalade</t>
  </si>
  <si>
    <t>gerookte ham</t>
  </si>
  <si>
    <t>vissla</t>
  </si>
  <si>
    <t>kaas</t>
  </si>
  <si>
    <t>gekookte ham</t>
  </si>
  <si>
    <t>krabsla</t>
  </si>
  <si>
    <t>kipsla</t>
  </si>
  <si>
    <t>Koffie 3 X bediend</t>
  </si>
  <si>
    <t>Gedetailleerde info</t>
  </si>
  <si>
    <t>Receptie A</t>
  </si>
  <si>
    <t>Receptie E</t>
  </si>
  <si>
    <t xml:space="preserve">Dessertbuffet zonder maaltijd: </t>
  </si>
  <si>
    <t>1 aperitief per persoon, vrije keuze</t>
  </si>
  <si>
    <t>Beknopte info</t>
  </si>
  <si>
    <t>Totaal per volwassene:</t>
  </si>
  <si>
    <t>(klik op de gele balk, vervolgens op het pijltje rechts en scroll ev. naar beneden)</t>
  </si>
  <si>
    <t>Mogelijke supplementen drank</t>
  </si>
  <si>
    <t>prijs pp</t>
  </si>
  <si>
    <t>Cava</t>
  </si>
  <si>
    <t>Champagne</t>
  </si>
  <si>
    <t>Maak in dit vak uw keuze</t>
  </si>
  <si>
    <t xml:space="preserve">koud hapje met krabsla </t>
  </si>
  <si>
    <t xml:space="preserve"> 0 t.e.m. 2 j. 11 maand</t>
  </si>
  <si>
    <t>kinderen</t>
  </si>
  <si>
    <t>3 j. t.e.m. 5 j. 11 maand</t>
  </si>
  <si>
    <t>6 j, t.e.m. 11 jr. 11 maand</t>
  </si>
  <si>
    <t>* eendenmousse met rode bessen en koornbloemblaadjes</t>
  </si>
  <si>
    <t>* luzerne met gerookte zalm, eitjes van vliegende vis in wasabi</t>
  </si>
  <si>
    <t>dranken inbegrepen gedurende 3 uur</t>
  </si>
  <si>
    <t>Buffetje no 3:</t>
  </si>
  <si>
    <t>Buffetje no 2: Kaasbuffetje:</t>
  </si>
  <si>
    <t xml:space="preserve">gerookte zalm </t>
  </si>
  <si>
    <t>krabsalade</t>
  </si>
  <si>
    <t>hapjes en drank gedurende 3 uur.</t>
  </si>
  <si>
    <t>Basis receptie.</t>
  </si>
  <si>
    <t>Goed voor een maaltijd.</t>
  </si>
  <si>
    <t xml:space="preserve">aangevuld worden met </t>
  </si>
  <si>
    <t>Kan voor andere doelen ev.</t>
  </si>
  <si>
    <t>Dranken 2 uur inbegrepen.</t>
  </si>
  <si>
    <t>belegde broodjes.</t>
  </si>
  <si>
    <t xml:space="preserve">van maximaal 3u30 </t>
  </si>
  <si>
    <t xml:space="preserve">All-in maaltijd - receptieformule </t>
  </si>
  <si>
    <t>De gasten hebben volledig</t>
  </si>
  <si>
    <t>De klemtoon ligt op een</t>
  </si>
  <si>
    <t>gegeten na deze formule.</t>
  </si>
  <si>
    <t>Maak hier uw keuze</t>
  </si>
  <si>
    <t>0,00</t>
  </si>
  <si>
    <t>MAAK UW KEUZE in de gele vakken:</t>
  </si>
  <si>
    <t>Deze info is van: Feestzaal Katelijnenhof, Heirweg 172, 8800 Roeselare. Contacteer de zaakvoerder: 0475/618058 - info@katelijnenhof.be - web: www.katelijnenhof.be met foto's en volledige prijslijst.</t>
  </si>
  <si>
    <t>Alles mag op 1 rekening geplaatst worden en wordt betaald door de organisator van het feest.</t>
  </si>
  <si>
    <t>De gasten rekenen zelf de drankjes af die ze bestellen.</t>
  </si>
  <si>
    <t>Om een aanvraag naar ons te versturen stuur een mail naar info@katelijnenhof met in bijlage dit bestand vanaf uw harde schijf.</t>
  </si>
  <si>
    <t>Eventuele datum van het feest:</t>
  </si>
  <si>
    <t>geraamd aantal volwassenen:</t>
  </si>
  <si>
    <t>geraamd aantal kinderen  0 t.e.m. 2 j. 11 maand:</t>
  </si>
  <si>
    <t>geraamd aantal kinderen 3 j. t.e.m. 5 j. 11 maand:</t>
  </si>
  <si>
    <t>geraamd aantal kinderen 6 j, t.e.m. 11 jr. 11 maand:</t>
  </si>
  <si>
    <t>Minimaal verbruik feest</t>
  </si>
  <si>
    <t>Algemene verkoopsvoorwaarden:</t>
  </si>
  <si>
    <t>1) Onze facturen zijn contant te betalen bij levering van de goederen. Bijgevolg zal in geval van laattijdige betaling</t>
  </si>
  <si>
    <t xml:space="preserve">van rechtswege en zonder voorafgaande ingebrekestelling een intrest aangerekend worden van 12% per jaar op de </t>
  </si>
  <si>
    <t xml:space="preserve">bedragen, verschuldigd acht dagen na de vervaldag van de facturen. Tevens zal bij gebrek aan betaling na </t>
  </si>
  <si>
    <t>aanmaning bij gewone brief, het verschuldigde bedrag van rechtswege verhoogd worden met een forfaitaire</t>
  </si>
  <si>
    <t xml:space="preserve">vergoeding van 12 % met een minimum van € 50  voor bijkomende administratieve kosten, debiteurenbewaking </t>
  </si>
  <si>
    <t xml:space="preserve">en commerciële stoornissen. Wij behouden ons het recht voor op elk moment de leveringen te staken. Elke </t>
  </si>
  <si>
    <t xml:space="preserve">klacht over de kwaliteit van de geleverde goederen moet uiterlijk 24 uur na de levering worden overgemaakt. </t>
  </si>
  <si>
    <t xml:space="preserve">Klachten in verband met facturatie kunnen slechts in aanmerking worden genomen zo zij binnen de acht </t>
  </si>
  <si>
    <t xml:space="preserve">dagen na ontvangst van de goederen bij aangetekende brief worden meegedeeld. In geval van betwisting zijn </t>
  </si>
  <si>
    <t xml:space="preserve">uitsluitend de rechtbanken van Kortrijk bevoegd. De leveringen  geschieden op risico van de bestemmeling. Er </t>
  </si>
  <si>
    <t xml:space="preserve">wordt uitdrukkelijk overeengekomen dat de klant door het plaatsen van een bestelling onze algemene </t>
  </si>
  <si>
    <t xml:space="preserve">verkoopsvoorwaarden erkent. Elke wijziging hieraan moet voorafgaandelijk in een schriftelijk akkoord worden </t>
  </si>
  <si>
    <t>vastgelegd.</t>
  </si>
  <si>
    <t xml:space="preserve">2) Annulatie dient schriftelijk en gedateerd te geschieden. </t>
  </si>
  <si>
    <t>In geval van annulatie minder dan 60 dagen voor de activiteit blijft het voorschot eigendom van het Katelijnenhof.</t>
  </si>
  <si>
    <t>Voor annulatie minder dan 10 dagen voor de activiteit is de klant in alle gevallen verplicht 35 % van de reservatie-</t>
  </si>
  <si>
    <t>waarde van de gehele manifestatie te vergoeden.</t>
  </si>
  <si>
    <t xml:space="preserve">Bij annulatie minder dan 5 dagen voor  de activiteit is de klant in alle gevallen verplicht de reservatie waarde van de </t>
  </si>
  <si>
    <t>gehele manifestatie te vergoeden.</t>
  </si>
  <si>
    <t xml:space="preserve">3) Iedere levering van dranken, voedingswaren of diensten in de  zalen is uitsluitend voorbehouden aan het </t>
  </si>
  <si>
    <t>Katelijnenhof, tenzij er een andere schriftelijke overeenkomst is.</t>
  </si>
  <si>
    <t xml:space="preserve">4) De klant is eraan gehouden voor iedere dansavond met groot orkest een aanvraag tot toelating in te dienen bij </t>
  </si>
  <si>
    <t>5) Alle door de klant meegebrachte materiaal dient door de klant te worden verzekerd en direct na het beëindigen</t>
  </si>
  <si>
    <t xml:space="preserve">van de manifestatie te worden verwijderd uit de zaal. Het Katelijnenhof behoudt het recht de leverancier te </t>
  </si>
  <si>
    <t xml:space="preserve">aanvaarden en voorschriften te geven om de lokalen ongeschonden te behouden. Het is strikt verboden om </t>
  </si>
  <si>
    <t xml:space="preserve">versieringen aan de muren of plafonds te bevestigen met duimspijkers of kleefband ! Bij beschadigingen van </t>
  </si>
  <si>
    <t>een deel van de muur wordt het geheel als beschadigd beschouwd.</t>
  </si>
  <si>
    <t xml:space="preserve">6) Het gebruik van de zaal is strikt beperkt tot de in deze overeenkomst vastgestelde functie. </t>
  </si>
  <si>
    <t>Iedere wijziging in de voorheen verklaarde bestemming brengt automatisch het recht tot prijsherziening met zich mee.</t>
  </si>
  <si>
    <t xml:space="preserve">7) Het gebruik van de zaal is gratis van zodra het verbruik hoger ligt dan € </t>
  </si>
  <si>
    <t>op de gehele factuur. Voor traiteurdienst gelden andere kortingsregels.</t>
  </si>
  <si>
    <t xml:space="preserve">8) Op vrijdag-, zaterdag- en (in geval van een avondfeest) op zondagnacht sluit de zaal, </t>
  </si>
  <si>
    <t xml:space="preserve">overeenkomstig het politiereglement, om 03 uur. </t>
  </si>
  <si>
    <t xml:space="preserve">Indien de klant dit wenst kan een afwijking bekomen worden op dit reglement mits het betalen van € </t>
  </si>
  <si>
    <t xml:space="preserve">(btw incl.) per uur. De klant heeft tijd tot 02u30 om te beslissen of hij van deze afwijking wenst gebruik te </t>
  </si>
  <si>
    <t xml:space="preserve">maken of niet. Indien de klant akkoord gaat deze toeslag  te betalen zal het Katelijnenhof  onmiddellijk een </t>
  </si>
  <si>
    <t>aanvraag doen bij de lokale politie. In het andere geval worden vanaf 02u45 geen dranken meer bediend en</t>
  </si>
  <si>
    <t>sluiten om 03u00 de deuren. Voor de andere dagen gelden andere tarieven.</t>
  </si>
  <si>
    <t xml:space="preserve">Op een zaterdag - en zondagmiddagfeest sluit de zaal om 18u30. Indien u wenst langer te blijven wordt per </t>
  </si>
  <si>
    <t xml:space="preserve">begonnen uur eveneens een toeslag van € </t>
  </si>
  <si>
    <t>(btw incl.) aangerekend.</t>
  </si>
  <si>
    <t>Om uw selecties te bewaren, gelieve ze op te slaan op uw harde schijf. (opslaan als)</t>
  </si>
  <si>
    <t>één rekening</t>
  </si>
  <si>
    <t>direct afrekenen</t>
  </si>
  <si>
    <t>alletwee de prijzen nodig!</t>
  </si>
  <si>
    <t xml:space="preserve">Indien  er geen volwaardige maaltijd wordt genomen, dienen er minstens 4 belegde broodjes genomen te worden en verhoogt het drankforfait tot € 28,00 </t>
  </si>
  <si>
    <t>'s middags tot 21 u - 's avonds onbeperkt. Let op! Artikel 8 van de verkoopsvoorwaarden (zie laatste bladzijde) kan hier van toepassing zijn !!!!</t>
  </si>
  <si>
    <t>Verbruik van DJ  ten laste van de klant</t>
  </si>
  <si>
    <t>Voor onze vegetarische klanten:</t>
  </si>
  <si>
    <t xml:space="preserve">- Voor onze vegetarische klanten bereiden wij graag een aparte schotel. </t>
  </si>
  <si>
    <t>Wij vragen wel met aandrang om op voorhand te melden als er vegetariërs zijn.</t>
  </si>
  <si>
    <t>Zij eten mee aan de prijs van de rest van de groep.</t>
  </si>
  <si>
    <t>Mensen met een speciaal dieet:</t>
  </si>
  <si>
    <t xml:space="preserve">Wij houden rekening met speciale wensen van mensen die een dieet volgen, </t>
  </si>
  <si>
    <t xml:space="preserve">maar alleen indien op voorhand gemeld. </t>
  </si>
  <si>
    <t>Halal kan ook, onder toezicht van een moslim bereid.</t>
  </si>
  <si>
    <t>ja</t>
  </si>
  <si>
    <t>nee</t>
  </si>
  <si>
    <t>Alle drank na de receptie komt op één rekening en wordt door de organisator van het feest betaald</t>
  </si>
  <si>
    <t>Elke gast die na de receptie een drankje bestelt rekent direct af aan de bar</t>
  </si>
  <si>
    <t xml:space="preserve">Forfait voor drank naar believen (alle bieren en frisdranken van de drankkaart in de zaal) na een receptie pp: </t>
  </si>
  <si>
    <r>
      <t xml:space="preserve">Het exacte aantal personen </t>
    </r>
    <r>
      <rPr>
        <b/>
        <u/>
        <sz val="11"/>
        <color indexed="8"/>
        <rFont val="Calibri"/>
        <family val="2"/>
      </rPr>
      <t>en</t>
    </r>
    <r>
      <rPr>
        <sz val="11"/>
        <color theme="1"/>
        <rFont val="Calibri"/>
        <family val="2"/>
        <scheme val="minor"/>
      </rPr>
      <t xml:space="preserve"> de tafelschikking dient ons meegedeeld te worden de vrijdag van het weekend voordien.</t>
    </r>
  </si>
  <si>
    <t>Overzicht van uw selectie:</t>
  </si>
  <si>
    <t>Keuze drank na de receptie:</t>
  </si>
  <si>
    <t xml:space="preserve">Vegetariërs: </t>
  </si>
  <si>
    <t xml:space="preserve">Speciale dieten: </t>
  </si>
  <si>
    <t xml:space="preserve">Halal bereidingen: </t>
  </si>
  <si>
    <t xml:space="preserve">Feest met discobar: </t>
  </si>
  <si>
    <t xml:space="preserve">SABAM, Rijselsestraat 51, 8500 Kortrijk, Tel : 056/210738 en alle kosten voortvloeiend uit deze aanvraag te </t>
  </si>
  <si>
    <t xml:space="preserve">dragen.  Voor een gewone disc-jockey betalen wij jaarlijks een vaste bijdrage. Het verbruik (drank en voeding) </t>
  </si>
  <si>
    <t xml:space="preserve">van de DJ is ten laste van de klant. Gelet op de nieuwe geluidsnormen, van kracht op 01/01/2013, moet de </t>
  </si>
  <si>
    <t xml:space="preserve">klant de DJ of elke andere persoon of toestel dat  geluid produceert verplichten zich aan deze normen te houden. </t>
  </si>
  <si>
    <t xml:space="preserve">De toelating voor onze zaal is – maximaal geluidsniveau &gt; 85 dB(A) LAeq,15min en ≤ 95 dB(A) LAeq,15min. </t>
  </si>
  <si>
    <t>klant. Er wordt een professionele houding van elke DJ of geluidstechnicus verwacht.</t>
  </si>
  <si>
    <t xml:space="preserve">9) De klant is verantwoordelijk voor de goede orde in en rond de feestzaal. Schade veroorzaakt door een der </t>
  </si>
  <si>
    <t xml:space="preserve">aanwezigen kan verhaald worden op deze persoon maar als deze om gelijk welke reden de schade niet kan </t>
  </si>
  <si>
    <t xml:space="preserve">vergoeden (vb: te weinig financiële middelen of de veroorzaker is onbekend) kan deze schade eveneens </t>
  </si>
  <si>
    <t xml:space="preserve">ondeelbaar worden verhaald op de klant , zijnde de persoon die het feest heeft besteld. VB: per gebroken tulpje </t>
  </si>
  <si>
    <t>aan de lusters van de grote zaal wordt 25 euro aangerekend.</t>
  </si>
  <si>
    <t xml:space="preserve">Dit is ruim voldoende. Alle boetes ten gevolge een overschrijding van deze voorwaarde zijn ten laste van de </t>
  </si>
  <si>
    <t>Gaat u akkoord met de algemene verkoopsvoorwaarden?</t>
  </si>
  <si>
    <t>uur van aankomst:</t>
  </si>
  <si>
    <t>aan tafel om:</t>
  </si>
  <si>
    <t>Uw naam:</t>
  </si>
  <si>
    <t>Adres:</t>
  </si>
  <si>
    <t>Stad:</t>
  </si>
  <si>
    <t>Tel nr:</t>
  </si>
  <si>
    <t>Naam Klant:</t>
  </si>
  <si>
    <t>Katelijnenhof</t>
  </si>
  <si>
    <t>Heirweg 172</t>
  </si>
  <si>
    <t>8800 Roeselare</t>
  </si>
  <si>
    <t>Gsm 0475/618058</t>
  </si>
  <si>
    <t>Datum activiteit:</t>
  </si>
  <si>
    <t>Totaal aantal personen:</t>
  </si>
  <si>
    <t>prijs:</t>
  </si>
  <si>
    <t>aankomst om:</t>
  </si>
  <si>
    <t>volwassenen:</t>
  </si>
  <si>
    <t>JR 1/2 (6 t.e.m. 11) :</t>
  </si>
  <si>
    <t>JR 1/3 (3 t.e.m. 5) :</t>
  </si>
  <si>
    <t>JR gratis (0 t.e.m. 2) :</t>
  </si>
  <si>
    <t xml:space="preserve">Het juiste aantal EN de gewenste tafelschikking moet ons meegedeeld worden ten laatste op: </t>
  </si>
  <si>
    <t>Wijzigingen na deze datum van aantal en/of tafelschikking hebben prijsherzieningen tot gevolg!</t>
  </si>
  <si>
    <t xml:space="preserve">Dit aantal geldt als minimum voor facturatie. Verdere verkoopsvoorwaarden op een ander werkblad. </t>
  </si>
  <si>
    <t>Vergeet ze niet te lezen.</t>
  </si>
  <si>
    <t>Handtekening der beide partijen voor akkoord:</t>
  </si>
  <si>
    <t>De klant</t>
  </si>
  <si>
    <t>Het Katelijnenhof</t>
  </si>
  <si>
    <t>Geschat factuurtotaal:</t>
  </si>
  <si>
    <t>(Gebaseerd op de door u ingebrachte gegevens)</t>
  </si>
  <si>
    <t>raming totaal 1:</t>
  </si>
  <si>
    <t>ander rekenblad:</t>
  </si>
  <si>
    <t>huur zaal:</t>
  </si>
  <si>
    <t>raming algemeen totaal:</t>
  </si>
  <si>
    <t>geraamde totalen uit andere rekenbladen:</t>
  </si>
  <si>
    <t>(vb: kindermenus)</t>
  </si>
  <si>
    <t>korting bij contante betaling:</t>
  </si>
  <si>
    <t>saldo:</t>
  </si>
  <si>
    <t>informele opstelling</t>
  </si>
  <si>
    <t>Voorziene tafelschikking:</t>
  </si>
  <si>
    <t>U kunt dit wijzigen, maar neem daarvoor contact met ons op.</t>
  </si>
  <si>
    <t>reden feest:</t>
  </si>
  <si>
    <t>Opmerking:</t>
  </si>
  <si>
    <t>info@katelijnenhof.be</t>
  </si>
  <si>
    <t>Indien een genodigde een extra aperitief bestelt of een aperitief wenst die niet in de prijs begrepen is dan:</t>
  </si>
  <si>
    <t>De gast die een extra aperitief bestelt betaalt deze zelf</t>
  </si>
  <si>
    <t>Alle extra aperitief komt op de algemene rekening.</t>
  </si>
  <si>
    <t>Om uw selecties af te drukken druk pagina 1 van tabblad  "reservatievoorstel" af.</t>
  </si>
  <si>
    <t>raming te betalen indien contante betaling  (max € 3000 cash):</t>
  </si>
  <si>
    <t xml:space="preserve">Indien uw feest cash (max € 3000) betaald wordt op de dag zelf dan krijgt u een korting van 2 % </t>
  </si>
  <si>
    <t>* mousse van krab met rode bietscheutjes</t>
  </si>
  <si>
    <t>Wijze van betaling:</t>
  </si>
  <si>
    <t>Uitsplitsing per BTW tarief.</t>
  </si>
  <si>
    <t>Totaalprijs per vol:</t>
  </si>
  <si>
    <t>Totaal aan 21%</t>
  </si>
  <si>
    <t>aantal</t>
  </si>
  <si>
    <t>totaal:</t>
  </si>
  <si>
    <t>deel 12%</t>
  </si>
  <si>
    <t>deel21%</t>
  </si>
  <si>
    <t>Vol</t>
  </si>
  <si>
    <t>JR 1/2</t>
  </si>
  <si>
    <t>JR 1/3</t>
  </si>
  <si>
    <t>JR gratis</t>
  </si>
  <si>
    <t xml:space="preserve">Wenst u een factuur? </t>
  </si>
  <si>
    <t xml:space="preserve">Factuur: </t>
  </si>
  <si>
    <t>Menu</t>
  </si>
  <si>
    <t>Dep. B</t>
  </si>
  <si>
    <t>Dep. A</t>
  </si>
  <si>
    <t>Voorschot reeds betaald:</t>
  </si>
  <si>
    <t>Gestort / betaald op:</t>
  </si>
  <si>
    <t>Voorschot wordt gesplitst over:</t>
  </si>
  <si>
    <t xml:space="preserve"> volwassenen</t>
  </si>
  <si>
    <t>Input GKS:</t>
  </si>
  <si>
    <t>vol</t>
  </si>
  <si>
    <t>x</t>
  </si>
  <si>
    <t>Verwerking voorschot</t>
  </si>
  <si>
    <t>Totale boekwaarde:</t>
  </si>
  <si>
    <t>Reservatievoorstel</t>
  </si>
  <si>
    <t xml:space="preserve">Onze meest uitgebreide </t>
  </si>
  <si>
    <t>Kleinere receptie</t>
  </si>
  <si>
    <t>receptie met een overvloed aan</t>
  </si>
  <si>
    <t>met een 4 aperitiefglaasjes als</t>
  </si>
  <si>
    <t xml:space="preserve">met schuimwijn van het huis en alle frisdranken en bieren naar believen, </t>
  </si>
  <si>
    <t xml:space="preserve">met Schuimwijn van het huis en alle frisdranken en bieren naar believen, </t>
  </si>
  <si>
    <t>hapje en drank gedurende 2 uur.</t>
  </si>
  <si>
    <t>uitgebreide fomule met hapjes in menuvorm (max 3uur)</t>
  </si>
  <si>
    <t>Kan als babyborrel, indien</t>
  </si>
  <si>
    <t xml:space="preserve">“3 koude voorgerechtjes", u kiest uit: * verse oester </t>
  </si>
  <si>
    <t>aangevuld met andere hapjes</t>
  </si>
  <si>
    <t>* parmaham met meloenbolletjes</t>
  </si>
  <si>
    <t>* parmaham met espuma van mango</t>
  </si>
  <si>
    <t>Schuimwijn van het huis (reeds inbegrepen)</t>
  </si>
  <si>
    <t>* preischeuten met tijgergarnalen en mini tomaat</t>
  </si>
  <si>
    <t xml:space="preserve">* ganache van foie gras met amandelbrood </t>
  </si>
  <si>
    <t>* Preiroomsoep met broccoligarnituur en gebakken spekjes* Aspergeroomsoep met koornbloemblaadjes</t>
  </si>
  <si>
    <t>* Kervelroomsoep met gerookte eend* Soepje van boschampignons met gerookte paling</t>
  </si>
  <si>
    <t>“3 warme voorgerechtjes”, u kiest uit: * oester met champagnesaus</t>
  </si>
  <si>
    <t xml:space="preserve">* Breydelspek met mosterdroomsaus * een gevuld toastcupje </t>
  </si>
  <si>
    <t xml:space="preserve">* mini croque * scampi nantua </t>
  </si>
  <si>
    <t xml:space="preserve">* mini loempia * Warme dagvis met curry </t>
  </si>
  <si>
    <t xml:space="preserve">* garnaal in filo * kippenboutje </t>
  </si>
  <si>
    <t xml:space="preserve"> “2 dessertjes”, u kiest uit:</t>
  </si>
  <si>
    <t>* mini dame blanche (1 bol in wijnglas)</t>
  </si>
  <si>
    <t>* Bruine chocolademousse</t>
  </si>
  <si>
    <t>* Pasteis de nata</t>
  </si>
  <si>
    <t>* Chocoladebavarois</t>
  </si>
  <si>
    <t>* Miserable    * mini fruittaartje</t>
  </si>
  <si>
    <t>* glaasje fruitsla met perensorbet</t>
  </si>
  <si>
    <t>* Witte chocolademousse</t>
  </si>
  <si>
    <t>* Roomsoes met warme chocoladesaus</t>
  </si>
  <si>
    <t>* Tiramisu * javanais</t>
  </si>
  <si>
    <t>* Gebak peer-caramel</t>
  </si>
  <si>
    <t>De 2 desserthapjes mogen ook vervangen worden door een zakje friet.</t>
  </si>
  <si>
    <t xml:space="preserve">Allergenen: </t>
  </si>
  <si>
    <t>Belegen hoevekaas (vb  Oud Brugge)</t>
  </si>
  <si>
    <t>Free-flow 1 maaltijd-receptieformule met buffetjes en warme hapjes</t>
  </si>
  <si>
    <t>Free-flow 1 maaltijd-receptieformule met buffetjes en warme hapjes en extra gerookte zalm en krabsalade</t>
  </si>
  <si>
    <t>Free-flow 2 maaltijd-receptieformule met buffetjes en warme hapjes</t>
  </si>
  <si>
    <t>Free-flow 2 maaltijd-receptieformule met buffetjes en warme hapjes en extra gerookte zalm en krabsalade</t>
  </si>
  <si>
    <t>Carré gebraad</t>
  </si>
  <si>
    <t>Hespenworst</t>
  </si>
  <si>
    <t>Americain préparé</t>
  </si>
  <si>
    <t>kaasbuffet aangevuld</t>
  </si>
  <si>
    <t>vleesbuffet aangevuld</t>
  </si>
  <si>
    <t>met vleesbeleg</t>
  </si>
  <si>
    <t>met vleesbeleg, krabsla</t>
  </si>
  <si>
    <t>met 3 soorten kaas</t>
  </si>
  <si>
    <t>met 3 soorten kaas, krabsla</t>
  </si>
  <si>
    <t>en gerookte zalm</t>
  </si>
  <si>
    <t>Betaling op de dag zelf (cash of bancontact), u bekomt 2% korting op het totaal</t>
  </si>
  <si>
    <t>email klant:</t>
  </si>
  <si>
    <t>email:</t>
  </si>
  <si>
    <t>U kunt ook de receptie wat langer laten duren. Dan serveren wij verder drank. Aantal uren extra (max2):</t>
  </si>
  <si>
    <t>Waarde dessert (hoeveel er afgaat)</t>
  </si>
  <si>
    <t>U kunt hier een extra warm gerecht kiezen.</t>
  </si>
  <si>
    <t>U kunt hier een tweede extra warm gerecht kiezen.</t>
  </si>
  <si>
    <t>U kunt hier een derde extra warm gerecht kiezen.</t>
  </si>
  <si>
    <t>lam, zwanen enz..  . Met foto suppl.</t>
  </si>
  <si>
    <t xml:space="preserve">Foto op de taart: suppl. € </t>
  </si>
  <si>
    <t xml:space="preserve">per stuk taart en € </t>
  </si>
  <si>
    <t xml:space="preserve"> per foto</t>
  </si>
  <si>
    <t>U kiest één soepje uit: * Kreeftensoep* Pompoensoep (sept. okt. nov.)</t>
  </si>
  <si>
    <t>per uur extra drank, prijs per persoon:</t>
  </si>
  <si>
    <t>uitgebreide fomule met toostjes in menuvorm (max 3uur)</t>
  </si>
  <si>
    <t>Een frikandel</t>
  </si>
  <si>
    <t>Een zakje friet</t>
  </si>
  <si>
    <t>Een BBQ worst</t>
  </si>
  <si>
    <t>Een ovenkoek met reuze Angus burger</t>
  </si>
  <si>
    <t>Duo van Groenlandse heilbot en scampi's met een snuifje saffraan</t>
  </si>
  <si>
    <t>Bladerdeeggebakje gevuld met kip</t>
  </si>
  <si>
    <t>Victoriabaarsfilet in preiroomsaus</t>
  </si>
  <si>
    <t>Witte zalmfilet in gekruide roomsaus of in kreeftenroomsaus</t>
  </si>
  <si>
    <t>Gepocheerde verse roze zalm met bieslooksaus</t>
  </si>
  <si>
    <t>Neem contact op met de zaakvoerder op tel nr 0475/618058</t>
  </si>
  <si>
    <t>om hier zeker geen misverstanden over te hebben!</t>
  </si>
  <si>
    <t>dranken inbegrepen</t>
  </si>
  <si>
    <t>gedurende 2 uur</t>
  </si>
  <si>
    <t>met huis schuimwijn,</t>
  </si>
  <si>
    <t>frisdranken en</t>
  </si>
  <si>
    <t>bieren naar believen.</t>
  </si>
  <si>
    <t xml:space="preserve">Assortiment van 4  </t>
  </si>
  <si>
    <t>inbegrepen.</t>
  </si>
  <si>
    <t>Maak uw keuze</t>
  </si>
  <si>
    <t>Liever meer dan 4 hapjes? Geen probleem.</t>
  </si>
  <si>
    <t>Het supplement bedraagt € 1,60 per hapje</t>
  </si>
  <si>
    <t>fini</t>
  </si>
  <si>
    <t>Ook inbegrepen:</t>
  </si>
  <si>
    <t>tapenades</t>
  </si>
  <si>
    <t>nootjes en chips</t>
  </si>
  <si>
    <t>aperitiefglaasjes</t>
  </si>
  <si>
    <t>luzerne met gerookte zalm, eitjes van vliegende vis in wasabi</t>
  </si>
  <si>
    <t>preischeuten met tijgergarnalen en mini tomaat</t>
  </si>
  <si>
    <t>aperoglaasje parmaham met meloenbolletjes</t>
  </si>
  <si>
    <t>aperoglaasje parmaham met espuma van mango</t>
  </si>
  <si>
    <t>verse oester</t>
  </si>
  <si>
    <t>Taboulé met gerookte forel</t>
  </si>
  <si>
    <t>Haringhapje met curry</t>
  </si>
  <si>
    <t>Bord met olijven, kaasjes en salamietjes</t>
  </si>
  <si>
    <t>Bord met 3 tapenades (tonijn / pesto spread rosso /zoete peper roomkaas)</t>
  </si>
  <si>
    <t>Breydelspek met mosterdroomsaus</t>
  </si>
  <si>
    <t>aperoglaasje scampi</t>
  </si>
  <si>
    <t>Warme dagvis met curry</t>
  </si>
  <si>
    <t>een gevuld toastcupje</t>
  </si>
  <si>
    <t xml:space="preserve">oester met champagnesaus </t>
  </si>
  <si>
    <t>garnaal in filo</t>
  </si>
  <si>
    <t>mini croque</t>
  </si>
  <si>
    <t>Aspergeroomsoep met koornbloemblaadjes</t>
  </si>
  <si>
    <t>Pompoensoep (sept. okt. nov.)</t>
  </si>
  <si>
    <t>Kervelroomsoep met gerookte eend</t>
  </si>
  <si>
    <t>Preiroomsoep met broccoligarnituur en gebakken spekjes</t>
  </si>
  <si>
    <t>Soepje van boschampignons met gerookte paling</t>
  </si>
  <si>
    <t>Bruine chocolademousse</t>
  </si>
  <si>
    <t>Pasteis de nata</t>
  </si>
  <si>
    <t>Chocoladebavarois</t>
  </si>
  <si>
    <t xml:space="preserve">Miserable    </t>
  </si>
  <si>
    <t>mini fruittaartje</t>
  </si>
  <si>
    <t>glaasje fruitsla met perensorbet</t>
  </si>
  <si>
    <t>Witte chocolademousse</t>
  </si>
  <si>
    <t>Roomsoes met warme chocoladesaus</t>
  </si>
  <si>
    <t xml:space="preserve">Tiramisu </t>
  </si>
  <si>
    <t>Gebak peer-caramel</t>
  </si>
  <si>
    <t>javanais</t>
  </si>
  <si>
    <t>Betaling na het feest. Gelieve 40 % voorschot te storten op BE48 4631 1391 2127. Geen korting.</t>
  </si>
  <si>
    <t>Storting op BE 48 4631 1391 2127 min. 7 dagen voor het feest, 2% korting</t>
  </si>
  <si>
    <t xml:space="preserve">Kies hier eerst uw soort receptie. </t>
  </si>
  <si>
    <t>(In totaal minstens 7 hapjes!)</t>
  </si>
  <si>
    <t>Of voor een maaltijd.</t>
  </si>
  <si>
    <t>Betaling drank na de eerste receptie:</t>
  </si>
  <si>
    <t>Babyborrel</t>
  </si>
  <si>
    <t>Partyformule</t>
  </si>
  <si>
    <t xml:space="preserve">Uitgebreide receptie </t>
  </si>
  <si>
    <t>met 9 hapjes</t>
  </si>
  <si>
    <t>Kies ook 1 warm gerecht,</t>
  </si>
  <si>
    <t>al dan niet met friet</t>
  </si>
  <si>
    <t>En selecteer forfait drank!</t>
  </si>
  <si>
    <t>mini kippenboutje</t>
  </si>
  <si>
    <t>en doorlopend drank.</t>
  </si>
  <si>
    <t>ganache van foie gras met frambozenconfituur en amandelbrood</t>
  </si>
  <si>
    <t>Uitgebreide receptie, alle doelen</t>
  </si>
  <si>
    <t>Kan op veel manieren</t>
  </si>
  <si>
    <t>uitgebreid worden.</t>
  </si>
  <si>
    <t>op een vrijdag bvb van 18 tot 21u</t>
  </si>
  <si>
    <t>Dan krijgt u een gratis fotoshoot voor de baby!</t>
  </si>
  <si>
    <t>Kiest u voor een BABYNOCTURNE</t>
  </si>
  <si>
    <t>Of een extra korting!</t>
  </si>
  <si>
    <t>Mini bagel met zalm en kruidenkaas</t>
  </si>
  <si>
    <t>BORD: op tafel met rauwe groenten en cocktailsaus (wortel, bloemkool, radijs)</t>
  </si>
  <si>
    <t>WARM: mini hot-dog</t>
  </si>
  <si>
    <t>Gepaneerde garnalen butterfly</t>
  </si>
  <si>
    <t>SOEP van kreeft</t>
  </si>
  <si>
    <t>DESSERT: mini dame blanche (1 bol in wijnglas)</t>
  </si>
  <si>
    <t>KOUD: crunchy sushi</t>
  </si>
  <si>
    <t>Exclusiviteit voor beide zalen: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</si>
</sst>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d/mm/yyyy;@"/>
  </numFmts>
  <fonts count="2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2" fontId="5" fillId="2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quotePrefix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7" fillId="0" borderId="0" xfId="0" applyFont="1"/>
    <xf numFmtId="0" fontId="0" fillId="4" borderId="0" xfId="0" applyFill="1" applyProtection="1">
      <protection locked="0" hidden="1"/>
    </xf>
    <xf numFmtId="0" fontId="0" fillId="0" borderId="0" xfId="0" applyBorder="1" applyAlignment="1">
      <alignment horizontal="right"/>
    </xf>
    <xf numFmtId="14" fontId="0" fillId="4" borderId="0" xfId="0" applyNumberFormat="1" applyFill="1" applyProtection="1">
      <protection locked="0" hidden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5" borderId="5" xfId="0" applyFont="1" applyFill="1" applyBorder="1"/>
    <xf numFmtId="0" fontId="0" fillId="5" borderId="6" xfId="0" applyFill="1" applyBorder="1"/>
    <xf numFmtId="0" fontId="0" fillId="5" borderId="8" xfId="0" applyFont="1" applyFill="1" applyBorder="1"/>
    <xf numFmtId="0" fontId="0" fillId="5" borderId="0" xfId="0" applyFill="1" applyBorder="1"/>
    <xf numFmtId="2" fontId="0" fillId="5" borderId="9" xfId="0" applyNumberFormat="1" applyFill="1" applyBorder="1"/>
    <xf numFmtId="2" fontId="0" fillId="5" borderId="9" xfId="0" applyNumberFormat="1" applyFill="1" applyBorder="1" applyAlignment="1">
      <alignment horizontal="right"/>
    </xf>
    <xf numFmtId="0" fontId="0" fillId="5" borderId="10" xfId="0" applyFont="1" applyFill="1" applyBorder="1"/>
    <xf numFmtId="0" fontId="0" fillId="5" borderId="11" xfId="0" applyFill="1" applyBorder="1"/>
    <xf numFmtId="2" fontId="0" fillId="5" borderId="12" xfId="0" applyNumberFormat="1" applyFill="1" applyBorder="1"/>
    <xf numFmtId="0" fontId="0" fillId="5" borderId="13" xfId="0" applyFill="1" applyBorder="1"/>
    <xf numFmtId="0" fontId="0" fillId="5" borderId="14" xfId="0" applyFill="1" applyBorder="1"/>
    <xf numFmtId="2" fontId="0" fillId="5" borderId="15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0" fontId="2" fillId="0" borderId="0" xfId="0" applyFont="1"/>
    <xf numFmtId="0" fontId="10" fillId="0" borderId="0" xfId="0" applyFont="1" applyFill="1"/>
    <xf numFmtId="0" fontId="0" fillId="4" borderId="0" xfId="0" applyFont="1" applyFill="1" applyProtection="1">
      <protection locked="0"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164" fontId="0" fillId="5" borderId="1" xfId="0" applyNumberFormat="1" applyFill="1" applyBorder="1"/>
    <xf numFmtId="0" fontId="11" fillId="0" borderId="0" xfId="0" applyFont="1" applyAlignment="1">
      <alignment horizontal="right" vertical="center"/>
    </xf>
    <xf numFmtId="0" fontId="11" fillId="0" borderId="0" xfId="0" applyFont="1"/>
    <xf numFmtId="2" fontId="11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/>
    <xf numFmtId="0" fontId="0" fillId="4" borderId="0" xfId="0" applyFill="1" applyProtection="1">
      <protection locked="0"/>
    </xf>
    <xf numFmtId="2" fontId="0" fillId="5" borderId="7" xfId="0" applyNumberForma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8" borderId="18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1" xfId="0" applyFont="1" applyFill="1" applyBorder="1" applyAlignment="1">
      <alignment horizontal="center"/>
    </xf>
    <xf numFmtId="2" fontId="0" fillId="3" borderId="21" xfId="0" applyNumberFormat="1" applyFont="1" applyFill="1" applyBorder="1" applyAlignment="1">
      <alignment horizontal="center"/>
    </xf>
    <xf numFmtId="0" fontId="0" fillId="6" borderId="0" xfId="0" applyFont="1" applyFill="1"/>
    <xf numFmtId="14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0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6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4" borderId="0" xfId="0" applyFill="1" applyAlignment="1" applyProtection="1">
      <alignment horizontal="center"/>
      <protection locked="0" hidden="1"/>
    </xf>
    <xf numFmtId="0" fontId="11" fillId="0" borderId="0" xfId="0" applyFont="1" applyAlignment="1">
      <alignment horizontal="center"/>
    </xf>
    <xf numFmtId="2" fontId="11" fillId="0" borderId="21" xfId="0" applyNumberFormat="1" applyFont="1" applyBorder="1"/>
    <xf numFmtId="2" fontId="11" fillId="0" borderId="24" xfId="0" applyNumberFormat="1" applyFont="1" applyBorder="1"/>
    <xf numFmtId="2" fontId="0" fillId="0" borderId="25" xfId="0" applyNumberFormat="1" applyFont="1" applyBorder="1" applyAlignment="1">
      <alignment horizontal="center"/>
    </xf>
    <xf numFmtId="2" fontId="11" fillId="0" borderId="26" xfId="0" applyNumberFormat="1" applyFont="1" applyBorder="1"/>
    <xf numFmtId="2" fontId="11" fillId="0" borderId="21" xfId="0" applyNumberFormat="1" applyFont="1" applyBorder="1" applyAlignment="1">
      <alignment horizontal="right"/>
    </xf>
    <xf numFmtId="0" fontId="0" fillId="3" borderId="27" xfId="0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9" borderId="2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0" fillId="0" borderId="30" xfId="0" applyFont="1" applyBorder="1"/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4" fillId="0" borderId="0" xfId="0" applyFont="1" applyBorder="1"/>
    <xf numFmtId="0" fontId="0" fillId="0" borderId="9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9" fontId="0" fillId="0" borderId="36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4" borderId="0" xfId="0" applyFill="1" applyAlignment="1" applyProtection="1">
      <alignment horizontal="left"/>
      <protection locked="0" hidden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0" fontId="2" fillId="8" borderId="0" xfId="0" applyFont="1" applyFill="1"/>
    <xf numFmtId="164" fontId="2" fillId="8" borderId="0" xfId="0" applyNumberFormat="1" applyFont="1" applyFill="1"/>
    <xf numFmtId="0" fontId="2" fillId="0" borderId="0" xfId="0" applyFont="1" applyFill="1" applyAlignment="1">
      <alignment textRotation="45"/>
    </xf>
    <xf numFmtId="0" fontId="2" fillId="0" borderId="0" xfId="0" applyFont="1" applyFill="1" applyAlignment="1"/>
    <xf numFmtId="0" fontId="18" fillId="0" borderId="0" xfId="0" applyFont="1" applyFill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/>
    <xf numFmtId="0" fontId="2" fillId="3" borderId="0" xfId="0" applyFont="1" applyFill="1"/>
    <xf numFmtId="2" fontId="2" fillId="8" borderId="0" xfId="0" applyNumberFormat="1" applyFont="1" applyFill="1"/>
    <xf numFmtId="2" fontId="19" fillId="0" borderId="0" xfId="0" applyNumberFormat="1" applyFont="1"/>
    <xf numFmtId="2" fontId="2" fillId="0" borderId="0" xfId="0" applyNumberFormat="1" applyFont="1"/>
    <xf numFmtId="2" fontId="19" fillId="8" borderId="0" xfId="0" applyNumberFormat="1" applyFont="1" applyFill="1" applyAlignment="1">
      <alignment horizontal="center"/>
    </xf>
    <xf numFmtId="2" fontId="19" fillId="7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left"/>
    </xf>
    <xf numFmtId="0" fontId="21" fillId="0" borderId="0" xfId="0" applyFont="1" applyAlignment="1">
      <alignment vertical="center"/>
    </xf>
    <xf numFmtId="0" fontId="13" fillId="0" borderId="0" xfId="0" applyFont="1"/>
    <xf numFmtId="14" fontId="2" fillId="0" borderId="0" xfId="0" applyNumberFormat="1" applyFont="1"/>
    <xf numFmtId="0" fontId="0" fillId="4" borderId="0" xfId="0" applyFill="1" applyAlignment="1" applyProtection="1">
      <alignment horizontal="right"/>
      <protection locked="0" hidden="1"/>
    </xf>
    <xf numFmtId="0" fontId="23" fillId="0" borderId="0" xfId="0" applyFont="1"/>
    <xf numFmtId="14" fontId="23" fillId="0" borderId="0" xfId="0" applyNumberFormat="1" applyFont="1"/>
    <xf numFmtId="0" fontId="23" fillId="0" borderId="0" xfId="0" applyFont="1" applyFill="1"/>
    <xf numFmtId="2" fontId="24" fillId="0" borderId="0" xfId="0" applyNumberFormat="1" applyFont="1"/>
    <xf numFmtId="0" fontId="23" fillId="3" borderId="0" xfId="0" applyFont="1" applyFill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5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0" xfId="0" applyFill="1" applyAlignment="1" applyProtection="1">
      <alignment horizontal="left" vertical="top" wrapText="1"/>
      <protection locked="0" hidden="1"/>
    </xf>
    <xf numFmtId="0" fontId="0" fillId="0" borderId="0" xfId="0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 hidden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0" fillId="8" borderId="2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14" fontId="0" fillId="9" borderId="18" xfId="0" applyNumberFormat="1" applyFont="1" applyFill="1" applyBorder="1" applyAlignment="1">
      <alignment horizontal="left" vertical="top"/>
    </xf>
    <xf numFmtId="0" fontId="0" fillId="9" borderId="20" xfId="0" applyFont="1" applyFill="1" applyBorder="1" applyAlignment="1">
      <alignment horizontal="left" vertical="top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left" wrapText="1"/>
    </xf>
    <xf numFmtId="0" fontId="8" fillId="0" borderId="3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2" fontId="0" fillId="0" borderId="36" xfId="0" applyNumberFormat="1" applyFont="1" applyBorder="1" applyAlignment="1">
      <alignment horizontal="left" wrapText="1"/>
    </xf>
    <xf numFmtId="2" fontId="0" fillId="0" borderId="37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1" applyNumberFormat="1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20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indexed="64"/>
          <bgColor theme="6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</xdr:row>
          <xdr:rowOff>123825</xdr:rowOff>
        </xdr:from>
        <xdr:to>
          <xdr:col>1</xdr:col>
          <xdr:colOff>1733550</xdr:colOff>
          <xdr:row>6</xdr:row>
          <xdr:rowOff>200025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HERBEGIN. Druk op deze knop om alles terug op de startwaarde te zetten.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1905000</xdr:colOff>
          <xdr:row>3</xdr:row>
          <xdr:rowOff>142875</xdr:rowOff>
        </xdr:from>
        <xdr:to>
          <xdr:col>1</xdr:col>
          <xdr:colOff>3505200</xdr:colOff>
          <xdr:row>6</xdr:row>
          <xdr:rowOff>200025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een voorstel af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4019550</xdr:colOff>
      <xdr:row>22</xdr:row>
      <xdr:rowOff>171450</xdr:rowOff>
    </xdr:from>
    <xdr:to>
      <xdr:col>1</xdr:col>
      <xdr:colOff>4162425</xdr:colOff>
      <xdr:row>23</xdr:row>
      <xdr:rowOff>133350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86225" y="4648200"/>
          <a:ext cx="142875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542925</xdr:colOff>
          <xdr:row>1</xdr:row>
          <xdr:rowOff>38100</xdr:rowOff>
        </xdr:from>
        <xdr:to>
          <xdr:col>9</xdr:col>
          <xdr:colOff>361950</xdr:colOff>
          <xdr:row>3</xdr:row>
          <xdr:rowOff>85725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dit voorstel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</xdr:row>
          <xdr:rowOff>171450</xdr:rowOff>
        </xdr:from>
        <xdr:to>
          <xdr:col>19</xdr:col>
          <xdr:colOff>342900</xdr:colOff>
          <xdr:row>3</xdr:row>
          <xdr:rowOff>47625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200025</xdr:colOff>
          <xdr:row>3</xdr:row>
          <xdr:rowOff>161925</xdr:rowOff>
        </xdr:from>
        <xdr:to>
          <xdr:col>19</xdr:col>
          <xdr:colOff>361950</xdr:colOff>
          <xdr:row>4</xdr:row>
          <xdr:rowOff>180975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5</xdr:row>
          <xdr:rowOff>76200</xdr:rowOff>
        </xdr:from>
        <xdr:to>
          <xdr:col>19</xdr:col>
          <xdr:colOff>352425</xdr:colOff>
          <xdr:row>6</xdr:row>
          <xdr:rowOff>161925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7</xdr:row>
          <xdr:rowOff>123825</xdr:rowOff>
        </xdr:from>
        <xdr:to>
          <xdr:col>19</xdr:col>
          <xdr:colOff>238125</xdr:colOff>
          <xdr:row>8</xdr:row>
          <xdr:rowOff>161925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228600</xdr:colOff>
          <xdr:row>9</xdr:row>
          <xdr:rowOff>95250</xdr:rowOff>
        </xdr:from>
        <xdr:to>
          <xdr:col>19</xdr:col>
          <xdr:colOff>257175</xdr:colOff>
          <xdr:row>10</xdr:row>
          <xdr:rowOff>142875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B1:AB173"/>
  <sheetViews>
    <sheetView showGridLines="0" showRowColHeaders="0" showZeros="0" tabSelected="1" zoomScaleNormal="100" workbookViewId="0">
      <pane ySplit="9" topLeftCell="A13" activePane="bottomLeft" state="frozen"/>
      <selection pane="bottomLeft" activeCell="B47" sqref="B47"/>
    </sheetView>
  </sheetViews>
  <sheetFormatPr defaultRowHeight="15" x14ac:dyDescent="0.25"/>
  <cols>
    <col min="1" max="1" width="1" customWidth="1"/>
    <col min="2" max="2" width="94.42578125" customWidth="1"/>
    <col min="3" max="3" width="1" customWidth="1"/>
    <col min="4" max="4" width="8.7109375" style="2" customWidth="1"/>
    <col min="5" max="5" width="5.140625" customWidth="1"/>
    <col min="6" max="6" width="21.5703125" customWidth="1"/>
    <col min="7" max="7" width="8.5703125" customWidth="1"/>
    <col min="8" max="8" width="21.7109375" bestFit="1" customWidth="1"/>
    <col min="9" max="9" width="7.140625" customWidth="1"/>
    <col min="10" max="10" width="23.42578125" customWidth="1"/>
    <col min="11" max="11" width="10.7109375" customWidth="1"/>
    <col min="12" max="12" width="9.7109375" bestFit="1" customWidth="1"/>
    <col min="27" max="27" width="10.7109375" style="128" bestFit="1" customWidth="1"/>
  </cols>
  <sheetData>
    <row r="1" spans="2:28" ht="15.75" x14ac:dyDescent="0.25">
      <c r="B1" s="16" t="s">
        <v>106</v>
      </c>
      <c r="L1" s="126">
        <f ca="1">TODAY()</f>
        <v>43769</v>
      </c>
    </row>
    <row r="3" spans="2:28" ht="15.75" x14ac:dyDescent="0.25">
      <c r="B3" s="16" t="str">
        <f>"Rekenmodule recepties en babyborrels. De prijzen in deze module gelden voor alle personen die een receptie nemen die niet gevolgd wordt door een maaltijd. Geldig  tot " &amp; DAY(matrixen!B1) &amp; " - " &amp; MONTH(matrixen!B1) &amp; " - " &amp; YEAR(matrixen!B1)</f>
        <v>Rekenmodule recepties en babyborrels. De prijzen in deze module gelden voor alle personen die een receptie nemen die niet gevolgd wordt door een maaltijd. Geldig  tot 31 - 12 - 2019</v>
      </c>
    </row>
    <row r="4" spans="2:28" ht="15.75" thickBot="1" x14ac:dyDescent="0.3"/>
    <row r="5" spans="2:28" x14ac:dyDescent="0.25">
      <c r="F5" s="10" t="s">
        <v>81</v>
      </c>
      <c r="G5" s="9"/>
      <c r="H5" s="10" t="s">
        <v>81</v>
      </c>
      <c r="I5" s="9"/>
      <c r="J5" s="10" t="s">
        <v>81</v>
      </c>
    </row>
    <row r="6" spans="2:28" ht="15.75" thickBot="1" x14ac:dyDescent="0.3">
      <c r="D6" s="45" t="str">
        <f ca="1">IF(TODAY()&gt;AA11,"Deze module is niet meer geldig.","")</f>
        <v/>
      </c>
      <c r="F6" s="11" t="s">
        <v>80</v>
      </c>
      <c r="G6" s="9"/>
      <c r="H6" s="11" t="s">
        <v>82</v>
      </c>
      <c r="I6" s="9"/>
      <c r="J6" s="11" t="s">
        <v>83</v>
      </c>
    </row>
    <row r="7" spans="2:28" ht="21.75" thickBot="1" x14ac:dyDescent="0.4">
      <c r="B7" s="5" t="s">
        <v>72</v>
      </c>
      <c r="C7" s="6"/>
      <c r="D7" s="7">
        <f ca="1">IF(TODAY()&gt;AA11,1/0,SUM(D12:D59))</f>
        <v>0</v>
      </c>
      <c r="E7" s="3"/>
      <c r="F7" s="12" t="s">
        <v>104</v>
      </c>
      <c r="G7" s="8"/>
      <c r="H7" s="13">
        <f ca="1">ROUND(D7/3,2)</f>
        <v>0</v>
      </c>
      <c r="I7" s="8"/>
      <c r="J7" s="13">
        <f ca="1">ROUND(D7/2,2)</f>
        <v>0</v>
      </c>
    </row>
    <row r="8" spans="2:28" ht="12.75" customHeight="1" x14ac:dyDescent="0.25">
      <c r="B8" s="42"/>
      <c r="C8" s="43"/>
      <c r="D8" s="44"/>
    </row>
    <row r="9" spans="2:28" ht="26.25" x14ac:dyDescent="0.4">
      <c r="B9" s="4" t="s">
        <v>105</v>
      </c>
      <c r="D9" s="21">
        <f>IF(D13&gt;0,"U koos nog geen receptieformule",0)</f>
        <v>0</v>
      </c>
    </row>
    <row r="10" spans="2:28" x14ac:dyDescent="0.25">
      <c r="B10" t="s">
        <v>73</v>
      </c>
      <c r="D10" s="15" t="s">
        <v>75</v>
      </c>
      <c r="F10" s="14" t="s">
        <v>71</v>
      </c>
      <c r="J10" s="14" t="s">
        <v>66</v>
      </c>
    </row>
    <row r="11" spans="2:28" ht="18.75" customHeight="1" x14ac:dyDescent="0.25">
      <c r="B11" s="105" t="s">
        <v>400</v>
      </c>
      <c r="AA11" s="129">
        <f>matrixen!B1</f>
        <v>43830</v>
      </c>
    </row>
    <row r="12" spans="2:28" x14ac:dyDescent="0.25">
      <c r="B12" s="17" t="s">
        <v>78</v>
      </c>
      <c r="D12" s="2">
        <f>VLOOKUP(B12,matrixen!B13:I23,8,FALSE)</f>
        <v>0</v>
      </c>
      <c r="F12">
        <f>IFERROR(HLOOKUP($B$12,matrixen!$K$14:$V$22,2,FALSE),"&lt;= U moet eerst een receptieformule kiezen")</f>
        <v>0</v>
      </c>
      <c r="J12">
        <f>HLOOKUP($B$12,matrixen!$W$14:$AH$465,2,FALSE)</f>
        <v>0</v>
      </c>
      <c r="AA12" s="130" t="str">
        <f>matrixen!B13</f>
        <v>Maak in dit vak uw keuze</v>
      </c>
    </row>
    <row r="13" spans="2:28" x14ac:dyDescent="0.25">
      <c r="B13" s="35" t="s">
        <v>78</v>
      </c>
      <c r="D13" s="20"/>
      <c r="F13">
        <f>HLOOKUP($B$12,matrixen!$K$14:$V$22,3,FALSE)</f>
        <v>0</v>
      </c>
      <c r="J13">
        <f>HLOOKUP($B$12,matrixen!$W$14:$AH$465,3,FALSE)</f>
        <v>0</v>
      </c>
      <c r="AA13" s="130" t="str">
        <f>matrixen!B14</f>
        <v>Babyborrel</v>
      </c>
      <c r="AB13" s="35"/>
    </row>
    <row r="14" spans="2:28" x14ac:dyDescent="0.25">
      <c r="B14" s="105" t="str">
        <f>IF(F12="U moet een receptieformule kiezen", "Kies hierboven een receptieformule!!","")</f>
        <v/>
      </c>
      <c r="D14" s="2">
        <f>IF(OR(B12="",D12=0),0,IF(AND(OR(B12=matrixen!B14,B12 = matrixen!B15),YEAR(F48)=2018),-2,0))</f>
        <v>0</v>
      </c>
      <c r="F14">
        <f>HLOOKUP($B$12,matrixen!$K$14:$V$22,4,FALSE)</f>
        <v>0</v>
      </c>
      <c r="J14">
        <f>HLOOKUP($B$12,matrixen!$W$14:$AH$465,4,FALSE)</f>
        <v>0</v>
      </c>
      <c r="AA14" s="130" t="str">
        <f>matrixen!B15</f>
        <v>Partyformule</v>
      </c>
      <c r="AB14" s="35"/>
    </row>
    <row r="15" spans="2:28" x14ac:dyDescent="0.25">
      <c r="B15" t="s">
        <v>240</v>
      </c>
      <c r="F15" s="134">
        <f>HLOOKUP($B$12,matrixen!$K$14:$V$22,5,FALSE)</f>
        <v>0</v>
      </c>
      <c r="G15" s="134"/>
      <c r="J15">
        <f>HLOOKUP($B$12,matrixen!$W$14:$AH$465,5,FALSE)</f>
        <v>0</v>
      </c>
      <c r="AA15" s="130" t="str">
        <f>matrixen!B16</f>
        <v>Receptie E</v>
      </c>
      <c r="AB15" s="35"/>
    </row>
    <row r="16" spans="2:28" x14ac:dyDescent="0.25">
      <c r="B16" s="17" t="s">
        <v>241</v>
      </c>
      <c r="F16">
        <f>HLOOKUP($B$12,matrixen!$K$14:$V$22,6,FALSE)</f>
        <v>0</v>
      </c>
      <c r="J16">
        <f>HLOOKUP($B$12,matrixen!$W$14:$AH$465,6,FALSE)</f>
        <v>0</v>
      </c>
      <c r="AA16" s="130" t="str">
        <f>matrixen!B17</f>
        <v>Receptie A</v>
      </c>
      <c r="AB16" s="35"/>
    </row>
    <row r="17" spans="2:28" x14ac:dyDescent="0.25">
      <c r="B17" s="35" t="s">
        <v>241</v>
      </c>
      <c r="F17">
        <f>HLOOKUP($B$12,matrixen!$K$14:$V$22,7,FALSE)</f>
        <v>0</v>
      </c>
      <c r="J17">
        <f>HLOOKUP($B$12,matrixen!$W$14:$AH$465,7,FALSE)</f>
        <v>0</v>
      </c>
      <c r="AA17" s="130" t="str">
        <f>matrixen!B18</f>
        <v>Uitgebreide receptie, alle doelen</v>
      </c>
      <c r="AB17" s="35"/>
    </row>
    <row r="18" spans="2:28" x14ac:dyDescent="0.25">
      <c r="B18" s="35" t="s">
        <v>242</v>
      </c>
      <c r="F18">
        <f>HLOOKUP($B$12,matrixen!$K$14:$V$22,8,FALSE)</f>
        <v>0</v>
      </c>
      <c r="J18">
        <f>HLOOKUP($B$12,matrixen!$W$14:$AH$465,8,FALSE)</f>
        <v>0</v>
      </c>
      <c r="AA18" s="130" t="str">
        <f>matrixen!B19</f>
        <v>Free-flow 1 maaltijd-receptieformule met buffetjes en warme hapjes</v>
      </c>
      <c r="AB18" s="35"/>
    </row>
    <row r="19" spans="2:28" x14ac:dyDescent="0.25">
      <c r="B19" s="1" t="s">
        <v>74</v>
      </c>
      <c r="F19">
        <f>HLOOKUP($B$12,matrixen!$K$14:$V$22,9,FALSE)</f>
        <v>0</v>
      </c>
      <c r="J19">
        <f>HLOOKUP($B$12,matrixen!$W$14:$AH$465,9,FALSE)</f>
        <v>0</v>
      </c>
      <c r="AA19" s="130" t="str">
        <f>matrixen!B20</f>
        <v>Free-flow 1 maaltijd-receptieformule met buffetjes en warme hapjes en extra gerookte zalm en krabsalade</v>
      </c>
      <c r="AB19" s="35"/>
    </row>
    <row r="20" spans="2:28" x14ac:dyDescent="0.25">
      <c r="J20">
        <f>HLOOKUP($B$12,matrixen!$W$14:$AH$465,10,FALSE)</f>
        <v>0</v>
      </c>
      <c r="AA20" s="130">
        <f>matrixen!B21</f>
        <v>0</v>
      </c>
      <c r="AB20" s="35"/>
    </row>
    <row r="21" spans="2:28" x14ac:dyDescent="0.25">
      <c r="B21" s="17" t="s">
        <v>287</v>
      </c>
      <c r="D21" s="2">
        <f>VLOOKUP(B21,matrixen!B25:I28,8,FALSE)</f>
        <v>0</v>
      </c>
      <c r="F21" s="1" t="str">
        <f>IF(B12=matrixen!L14,"Rec G: kies hier uw andere hapjes","")</f>
        <v/>
      </c>
      <c r="J21">
        <f>HLOOKUP($B$12,matrixen!$W$14:$AH$465,11,FALSE)</f>
        <v>0</v>
      </c>
      <c r="AA21" s="130" t="str">
        <f>matrixen!B22</f>
        <v>Free-flow 2 maaltijd-receptieformule met buffetjes en warme hapjes</v>
      </c>
      <c r="AB21" s="35"/>
    </row>
    <row r="22" spans="2:28" x14ac:dyDescent="0.25">
      <c r="B22" s="35" t="s">
        <v>287</v>
      </c>
      <c r="J22">
        <f>HLOOKUP($B$12,matrixen!$W$14:$AH$465,12,FALSE)</f>
        <v>0</v>
      </c>
      <c r="AA22" s="130" t="str">
        <f>matrixen!B23</f>
        <v>Free-flow 2 maaltijd-receptieformule met buffetjes en warme hapjes en extra gerookte zalm en krabsalade</v>
      </c>
      <c r="AB22" s="35"/>
    </row>
    <row r="23" spans="2:28" x14ac:dyDescent="0.25">
      <c r="B23" s="1" t="str">
        <f>IFERROR(IF(B12=matrixen!N14,"U selecteerde receptie E. Kies hieronder 4 hapjes.",IF(B12=matrixen!L14,"U koos receptie G, ideaal voor een babyborrel. Kies eerst hieronder 4 hapjes en de rest in deze gele vakjes rechts =&gt;",IF(B12=matrixen!R14,"U koos receptie A. U kunt hapjes toevoegen als u dat wenst.",IF(SEARCH("Free",B12),"In de free flow recepties mag u 5 hapjes kiezen","")))),"Kies eerst hierboven in het gele vak, net onder het oranje vak een formule!")</f>
        <v>Kies eerst hierboven in het gele vak, net onder het oranje vak een formule!</v>
      </c>
      <c r="F23" s="139"/>
      <c r="G23" s="139"/>
      <c r="H23" s="139"/>
      <c r="I23" s="139"/>
      <c r="J23">
        <f>HLOOKUP($B$12,matrixen!$W$14:$AH$465,13,FALSE)</f>
        <v>0</v>
      </c>
      <c r="AA23" s="130">
        <f>matrixen!B24</f>
        <v>0</v>
      </c>
      <c r="AB23" s="35"/>
    </row>
    <row r="24" spans="2:28" x14ac:dyDescent="0.25">
      <c r="B24" s="2">
        <f>IF(SUM(D24:D26)&gt;0,"Toeslag voor extra hapjes hapjes:",0)</f>
        <v>0</v>
      </c>
      <c r="D24" s="2">
        <f>IF(AND(COUNTA($B$25:$B$28)+COUNTA($F$23:$I$27)&gt;4,$B$12=matrixen!N14),((COUNTA($B$25:$B$28)+COUNTA($F$23:$I$27))-4)*matrixen!$I$49,0)</f>
        <v>0</v>
      </c>
      <c r="F24" s="139"/>
      <c r="G24" s="139"/>
      <c r="H24" s="139"/>
      <c r="I24" s="139"/>
      <c r="J24">
        <f>HLOOKUP($B$12,matrixen!$W$14:$AH$465,14,FALSE)</f>
        <v>0</v>
      </c>
      <c r="AA24" s="130" t="str">
        <f>matrixen!B25</f>
        <v>Schuimwijn van het huis (reeds inbegrepen)</v>
      </c>
      <c r="AB24" s="35"/>
    </row>
    <row r="25" spans="2:28" x14ac:dyDescent="0.25">
      <c r="B25" s="17"/>
      <c r="D25" s="2">
        <f>IF(AND(COUNTA($B$25:$B$28)+COUNTA($F$23:$I$27)&gt;0,$B$12=matrixen!R14),((COUNTA($B$25:$B$28)+COUNTA($F$23:$I$27)))*matrixen!$I$49,0)</f>
        <v>0</v>
      </c>
      <c r="F25" s="139"/>
      <c r="G25" s="139"/>
      <c r="H25" s="139"/>
      <c r="I25" s="139"/>
      <c r="J25">
        <f>HLOOKUP($B$12,matrixen!$W$14:$AH$465,15,FALSE)</f>
        <v>0</v>
      </c>
      <c r="AA25" s="130" t="str">
        <f>matrixen!B26</f>
        <v>Cava</v>
      </c>
      <c r="AB25" s="35"/>
    </row>
    <row r="26" spans="2:28" x14ac:dyDescent="0.25">
      <c r="B26" s="17"/>
      <c r="D26" s="2">
        <f>IF(AND(COUNTA($B$25:$B$28)+COUNTA($F$23:$I$27)&gt;5,OR($B$12=matrixen!S14,B12=matrixen!T14,B12=matrixen!U14,B12=matrixen!V14)),((COUNTA($B$25:$B$28)+COUNTA($F$23:$I$27))-5)*matrixen!$I$49,0)</f>
        <v>0</v>
      </c>
      <c r="F26" s="139"/>
      <c r="G26" s="139"/>
      <c r="H26" s="139"/>
      <c r="I26" s="139"/>
      <c r="J26">
        <f>HLOOKUP($B$12,matrixen!$W$14:$AH$465,16,FALSE)</f>
        <v>0</v>
      </c>
      <c r="AA26" s="130" t="str">
        <f>matrixen!B27</f>
        <v>Champagne</v>
      </c>
      <c r="AB26" s="35"/>
    </row>
    <row r="27" spans="2:28" x14ac:dyDescent="0.25">
      <c r="B27" s="17"/>
      <c r="F27" s="139"/>
      <c r="G27" s="139"/>
      <c r="H27" s="139"/>
      <c r="I27" s="139"/>
      <c r="J27">
        <f>HLOOKUP($B$12,matrixen!$W$14:$AH$465,17,FALSE)</f>
        <v>0</v>
      </c>
      <c r="AA27" s="130">
        <f>matrixen!B28</f>
        <v>0</v>
      </c>
      <c r="AB27" s="35"/>
    </row>
    <row r="28" spans="2:28" x14ac:dyDescent="0.25">
      <c r="B28" s="17"/>
      <c r="J28">
        <f>HLOOKUP($B$12,matrixen!$W$14:$AH$465,18,FALSE)</f>
        <v>0</v>
      </c>
      <c r="AA28" s="130"/>
      <c r="AB28" s="35"/>
    </row>
    <row r="29" spans="2:28" x14ac:dyDescent="0.25">
      <c r="D29" s="20">
        <f>IF(F31&lt;&gt;"",1/0,0)</f>
        <v>0</v>
      </c>
      <c r="J29">
        <f>HLOOKUP($B$12,matrixen!$W$14:$AH$465,19,FALSE)</f>
        <v>0</v>
      </c>
      <c r="AA29" s="130" t="str">
        <f>matrixen!D58</f>
        <v>Maak hier uw keuze</v>
      </c>
      <c r="AB29" s="35"/>
    </row>
    <row r="30" spans="2:28" x14ac:dyDescent="0.25">
      <c r="J30">
        <f>HLOOKUP($B$12,matrixen!$W$14:$AH$465,20,FALSE)</f>
        <v>0</v>
      </c>
      <c r="AA30" s="130" t="str">
        <f>matrixen!D59</f>
        <v>parmaham</v>
      </c>
      <c r="AB30" s="35"/>
    </row>
    <row r="31" spans="2:28" x14ac:dyDescent="0.25">
      <c r="B31" s="133" t="str">
        <f>IF(B12=matrixen!B15,"Selecteer hieronder: Forfait voor drank naar believen. Dit is reeds inbegrepen en wijzigt de prijs niet meer.","Betaling drank na de receptie:")</f>
        <v>Betaling drank na de receptie:</v>
      </c>
      <c r="F31" s="138" t="str">
        <f xml:space="preserve"> IF(B39="ja",IF(COUNTA(F23:F27)+COUNTA(B25:B28)&gt;7,"U selecteerde teveel hapjes en kunt de desserthapjes niet vervangen! Selecteer in het gele vak hierboven maximaal 7 hapjes! Of kies de optie 'extra warm gerecht kiezen'",""),"")</f>
        <v/>
      </c>
      <c r="J31">
        <f>HLOOKUP($B$12,matrixen!$W$14:$AH$465,21,FALSE)</f>
        <v>0</v>
      </c>
      <c r="AA31" s="130" t="str">
        <f>matrixen!D60</f>
        <v>grijze garnalen</v>
      </c>
      <c r="AB31" s="35"/>
    </row>
    <row r="32" spans="2:28" x14ac:dyDescent="0.25">
      <c r="B32" s="133"/>
      <c r="D32"/>
      <c r="F32" s="138"/>
      <c r="J32">
        <f>HLOOKUP($B$12,matrixen!$W$14:$AH$465,22,FALSE)</f>
        <v>0</v>
      </c>
      <c r="AA32" s="130" t="str">
        <f>matrixen!D61</f>
        <v>gerookte zalm</v>
      </c>
      <c r="AB32" s="35"/>
    </row>
    <row r="33" spans="2:28" x14ac:dyDescent="0.25">
      <c r="B33" s="37" t="s">
        <v>175</v>
      </c>
      <c r="D33">
        <f>IF(B12=matrixen!B15,matrixen!P93,VLOOKUP(B33,matrixen!A91:P93,15,FALSE))</f>
        <v>0</v>
      </c>
      <c r="E33" s="35" t="str">
        <f>VLOOKUP(B33,matrixen!A91:P93,16,FALSE)</f>
        <v>één rekening</v>
      </c>
      <c r="F33" s="138"/>
      <c r="J33">
        <f>HLOOKUP($B$12,matrixen!$W$14:$AH$465,23,FALSE)</f>
        <v>0</v>
      </c>
      <c r="AA33" s="130" t="str">
        <f>matrixen!D62</f>
        <v>zalmsalade</v>
      </c>
      <c r="AB33" s="35"/>
    </row>
    <row r="34" spans="2:28" ht="15" customHeight="1" x14ac:dyDescent="0.25">
      <c r="B34" s="35" t="s">
        <v>175</v>
      </c>
      <c r="D34"/>
      <c r="F34" s="138"/>
      <c r="J34">
        <f>HLOOKUP($B$12,matrixen!$W$14:$AH$465,24,FALSE)</f>
        <v>0</v>
      </c>
      <c r="AA34" s="130" t="str">
        <f>matrixen!D63</f>
        <v>gerookte ham</v>
      </c>
      <c r="AB34" s="35"/>
    </row>
    <row r="35" spans="2:28" x14ac:dyDescent="0.25">
      <c r="B35" s="1" t="s">
        <v>328</v>
      </c>
      <c r="D35"/>
      <c r="F35" s="138"/>
      <c r="J35">
        <f>HLOOKUP($B$12,matrixen!$W$14:$AH$465,25,FALSE)</f>
        <v>0</v>
      </c>
      <c r="AA35" s="130" t="str">
        <f>matrixen!D64</f>
        <v>vissla</v>
      </c>
      <c r="AB35" s="35"/>
    </row>
    <row r="36" spans="2:28" x14ac:dyDescent="0.25">
      <c r="B36" s="48">
        <v>0</v>
      </c>
      <c r="D36" s="2">
        <f>B36*matrixen!I53</f>
        <v>0</v>
      </c>
      <c r="F36" s="138"/>
      <c r="J36">
        <f>HLOOKUP($B$12,matrixen!$W$14:$AH$465,26,FALSE)</f>
        <v>0</v>
      </c>
      <c r="AA36" s="130" t="str">
        <f>matrixen!D65</f>
        <v>kaas</v>
      </c>
      <c r="AB36" s="35"/>
    </row>
    <row r="37" spans="2:28" x14ac:dyDescent="0.25">
      <c r="B37">
        <v>0</v>
      </c>
      <c r="F37" s="138"/>
      <c r="J37">
        <f>HLOOKUP($B$12,matrixen!$W$14:$AH$465,27,FALSE)</f>
        <v>0</v>
      </c>
      <c r="AA37" s="130" t="str">
        <f>matrixen!D66</f>
        <v>gekookte ham</v>
      </c>
      <c r="AB37" s="35"/>
    </row>
    <row r="38" spans="2:28" ht="15" customHeight="1" x14ac:dyDescent="0.25">
      <c r="B38" s="1" t="str">
        <f>IF(B12=matrixen!L14,"Wilt u 2 hapjes vervangen door één of meerdere warme gerechten?","")</f>
        <v/>
      </c>
      <c r="F38" s="138"/>
      <c r="J38">
        <f>HLOOKUP($B$12,matrixen!$W$14:$AH$465,28,FALSE)</f>
        <v>0</v>
      </c>
      <c r="AA38" s="130" t="str">
        <f>matrixen!D67</f>
        <v>américain préparé</v>
      </c>
      <c r="AB38" s="35"/>
    </row>
    <row r="39" spans="2:28" x14ac:dyDescent="0.25">
      <c r="B39" s="71" t="s">
        <v>174</v>
      </c>
      <c r="F39" s="138"/>
      <c r="J39">
        <f>HLOOKUP($B$12,matrixen!$W$14:$AH$465,29,FALSE)</f>
        <v>0</v>
      </c>
      <c r="AA39" s="130" t="str">
        <f>matrixen!D68</f>
        <v>krabsla</v>
      </c>
      <c r="AB39" s="35"/>
    </row>
    <row r="40" spans="2:28" x14ac:dyDescent="0.25">
      <c r="B40" s="1" t="s">
        <v>330</v>
      </c>
      <c r="F40" s="138"/>
      <c r="J40">
        <f>HLOOKUP($B$12,matrixen!$W$14:$AH$465,30,FALSE)</f>
        <v>0</v>
      </c>
      <c r="AA40" s="130" t="str">
        <f>matrixen!D69</f>
        <v>kipsla</v>
      </c>
      <c r="AB40" s="35"/>
    </row>
    <row r="41" spans="2:28" x14ac:dyDescent="0.25">
      <c r="B41" s="101"/>
      <c r="C41" s="2"/>
      <c r="D41" s="2">
        <f>IF(F31="",IF(B39="ja",IF((D43+D45+E47+D47)&gt;0,matrixen!N72*(-1),0),0),0)</f>
        <v>0</v>
      </c>
      <c r="F41" s="138"/>
      <c r="H41">
        <f>HLOOKUP($B$12,matrixen!$W$14:$AH$465,31,FALSE)</f>
        <v>0</v>
      </c>
      <c r="AA41" s="130"/>
      <c r="AB41" s="35"/>
    </row>
    <row r="42" spans="2:28" ht="15.75" x14ac:dyDescent="0.25">
      <c r="B42" s="1" t="s">
        <v>331</v>
      </c>
      <c r="C42" s="2"/>
      <c r="F42" s="2" t="s">
        <v>181</v>
      </c>
      <c r="G42" s="17" t="s">
        <v>174</v>
      </c>
      <c r="H42" s="2" t="s">
        <v>182</v>
      </c>
      <c r="I42" s="17" t="s">
        <v>174</v>
      </c>
      <c r="J42" s="2" t="s">
        <v>183</v>
      </c>
      <c r="K42" s="17" t="s">
        <v>174</v>
      </c>
      <c r="AA42" s="131" t="str">
        <f>matrixen!A91</f>
        <v>Alle drank na de receptie komt op één rekening en wordt door de organisator van het feest betaald</v>
      </c>
      <c r="AB42" s="35"/>
    </row>
    <row r="43" spans="2:28" ht="15.75" x14ac:dyDescent="0.25">
      <c r="B43" s="101"/>
      <c r="C43" s="2"/>
      <c r="D43" s="2">
        <f>IFERROR(VLOOKUP(B41,matrixen!$L$75:$N$84,3,FALSE),0)</f>
        <v>0</v>
      </c>
      <c r="F43" s="2"/>
      <c r="H43" s="2"/>
      <c r="K43" s="2"/>
      <c r="AA43" s="131" t="str">
        <f>matrixen!A92</f>
        <v>Elke gast die na de receptie een drankje bestelt rekent direct af aan de bar</v>
      </c>
      <c r="AB43" s="35"/>
    </row>
    <row r="44" spans="2:28" ht="15.75" x14ac:dyDescent="0.25">
      <c r="B44" s="1" t="s">
        <v>332</v>
      </c>
      <c r="F44" s="2" t="s">
        <v>184</v>
      </c>
      <c r="G44" s="17" t="s">
        <v>174</v>
      </c>
      <c r="H44" s="2" t="s">
        <v>309</v>
      </c>
      <c r="I44" s="17" t="s">
        <v>174</v>
      </c>
      <c r="J44" t="str">
        <f>IF($I$44="ja",matrixen!A97,"")</f>
        <v/>
      </c>
      <c r="AA44" s="131" t="str">
        <f>matrixen!A93</f>
        <v xml:space="preserve">Forfait voor drank naar believen (alle bieren en frisdranken van de drankkaart in de zaal) na een receptie pp: </v>
      </c>
      <c r="AB44" s="35"/>
    </row>
    <row r="45" spans="2:28" x14ac:dyDescent="0.25">
      <c r="B45" s="101"/>
      <c r="D45" s="2">
        <f>IFERROR(VLOOKUP(B43,matrixen!$L$75:$N$84,3,FALSE),0)</f>
        <v>0</v>
      </c>
      <c r="F45" s="39" t="str">
        <f>IF(G44="ja",matrixen!A101,"")</f>
        <v/>
      </c>
      <c r="H45" s="2"/>
      <c r="J45" t="str">
        <f>IF($I$44="ja",matrixen!A98,"")</f>
        <v/>
      </c>
      <c r="AA45" s="130"/>
      <c r="AB45" s="35"/>
    </row>
    <row r="46" spans="2:28" x14ac:dyDescent="0.25">
      <c r="B46" s="1" t="str">
        <f>"Wenst u exclusiviteit voor het volledige domein mits meerprijs van € "&amp;matrixen!F222 &amp; " ?"</f>
        <v>Wenst u exclusiviteit voor het volledige domein mits meerprijs van € 750 ?</v>
      </c>
      <c r="AA46" s="130" t="str">
        <f>matrixen!A119</f>
        <v>ja</v>
      </c>
      <c r="AB46" s="35"/>
    </row>
    <row r="47" spans="2:28" ht="15.75" customHeight="1" thickBot="1" x14ac:dyDescent="0.3">
      <c r="B47" s="127" t="s">
        <v>174</v>
      </c>
      <c r="D47" s="2">
        <f>IFERROR(VLOOKUP(B45,matrixen!$L$75:$N$84,3,FALSE),0)</f>
        <v>0</v>
      </c>
      <c r="E47" s="2">
        <f>IF(B47="ja",matrixen!F222,0)</f>
        <v>0</v>
      </c>
      <c r="AA47" s="130" t="str">
        <f>matrixen!A120</f>
        <v>nee</v>
      </c>
      <c r="AB47" s="35"/>
    </row>
    <row r="48" spans="2:28" ht="26.25" x14ac:dyDescent="0.4">
      <c r="E48" s="2" t="s">
        <v>110</v>
      </c>
      <c r="F48" s="19"/>
      <c r="H48" s="22" t="s">
        <v>179</v>
      </c>
      <c r="I48" s="23"/>
      <c r="J48" s="23"/>
      <c r="K48" s="23"/>
      <c r="L48" s="49" t="str">
        <f>IF(B36&gt;1,B36 &amp; " extra uren drank",IF(B36=1,"1 extra uur drank",""))</f>
        <v/>
      </c>
      <c r="Z48" s="36"/>
      <c r="AA48" s="132" t="str">
        <f>IF($B$12=matrixen!$B$14,"ja","")</f>
        <v/>
      </c>
    </row>
    <row r="49" spans="2:27" ht="36" customHeight="1" x14ac:dyDescent="0.25">
      <c r="E49" s="2"/>
      <c r="F49" s="2" t="s">
        <v>178</v>
      </c>
      <c r="H49" s="135">
        <f>IF(L49&gt;0,B12,0)</f>
        <v>0</v>
      </c>
      <c r="I49" s="136"/>
      <c r="J49" s="136"/>
      <c r="K49" s="136"/>
      <c r="L49" s="26">
        <f>D12</f>
        <v>0</v>
      </c>
      <c r="Z49" s="36"/>
      <c r="AA49" s="132" t="str">
        <f>IF($B$12=matrixen!$B$14,"nee","")</f>
        <v/>
      </c>
    </row>
    <row r="50" spans="2:27" x14ac:dyDescent="0.25">
      <c r="E50" s="2" t="s">
        <v>111</v>
      </c>
      <c r="F50" s="17"/>
      <c r="H50" s="28" t="str">
        <f>IF(L50&gt;0,B21,"")</f>
        <v/>
      </c>
      <c r="I50" s="29" t="str">
        <f>IF(L50&gt;0,"geldt alleen bij recepties!!!","")</f>
        <v/>
      </c>
      <c r="J50" s="29"/>
      <c r="K50" s="29"/>
      <c r="L50" s="30">
        <f>D21</f>
        <v>0</v>
      </c>
      <c r="Z50" s="36"/>
    </row>
    <row r="51" spans="2:27" x14ac:dyDescent="0.25">
      <c r="E51" s="18" t="s">
        <v>114</v>
      </c>
      <c r="F51" s="17"/>
      <c r="H51" s="24"/>
      <c r="I51" s="25"/>
      <c r="J51" s="25"/>
      <c r="K51" s="25"/>
      <c r="L51" s="26"/>
    </row>
    <row r="52" spans="2:27" x14ac:dyDescent="0.25">
      <c r="E52" s="18" t="s">
        <v>113</v>
      </c>
      <c r="F52" s="17"/>
      <c r="H52" s="24"/>
      <c r="I52" s="25"/>
      <c r="J52" s="25"/>
      <c r="K52" s="25"/>
      <c r="L52" s="27"/>
      <c r="AA52" s="128" t="str">
        <f>matrixen!A381</f>
        <v>Betaling op de dag zelf (cash of bancontact), u bekomt 2% korting op het totaal</v>
      </c>
    </row>
    <row r="53" spans="2:27" x14ac:dyDescent="0.25">
      <c r="E53" s="18" t="s">
        <v>112</v>
      </c>
      <c r="F53" s="17"/>
      <c r="G53" s="3"/>
      <c r="H53" s="24"/>
      <c r="I53" s="25"/>
      <c r="J53" s="25"/>
      <c r="K53" s="25"/>
      <c r="L53" s="27"/>
      <c r="AA53" s="128" t="str">
        <f>matrixen!A382</f>
        <v>Storting op BE 48 4631 1391 2127 min. 7 dagen voor het feest, 2% korting</v>
      </c>
    </row>
    <row r="54" spans="2:27" x14ac:dyDescent="0.25">
      <c r="B54" s="99"/>
      <c r="G54" s="3"/>
      <c r="H54" s="24"/>
      <c r="I54" s="25"/>
      <c r="J54" s="25"/>
      <c r="K54" s="25"/>
      <c r="L54" s="27"/>
      <c r="AA54" s="128" t="str">
        <f>matrixen!A383</f>
        <v>Betaling na het feest. Gelieve 40 % voorschot te storten op BE48 4631 1391 2127. Geen korting.</v>
      </c>
    </row>
    <row r="55" spans="2:27" x14ac:dyDescent="0.25">
      <c r="B55" s="99"/>
      <c r="E55" s="18" t="s">
        <v>198</v>
      </c>
      <c r="F55" s="17"/>
      <c r="H55" s="24"/>
      <c r="I55" s="25"/>
      <c r="J55" s="25"/>
      <c r="K55" s="25"/>
      <c r="L55" s="27"/>
    </row>
    <row r="56" spans="2:27" x14ac:dyDescent="0.25">
      <c r="B56" s="99"/>
      <c r="E56" s="18" t="s">
        <v>199</v>
      </c>
      <c r="F56" s="17"/>
      <c r="H56" s="28"/>
      <c r="I56" s="29"/>
      <c r="J56" s="29"/>
      <c r="K56" s="29"/>
      <c r="L56" s="34"/>
      <c r="AA56" s="128">
        <f>matrixen!L75</f>
        <v>0</v>
      </c>
    </row>
    <row r="57" spans="2:27" x14ac:dyDescent="0.25">
      <c r="B57" s="99"/>
      <c r="H57" s="28"/>
      <c r="I57" s="29"/>
      <c r="J57" s="29"/>
      <c r="K57" s="29"/>
      <c r="L57" s="34"/>
      <c r="AA57" s="128" t="str">
        <f>matrixen!L76</f>
        <v>Een frikandel</v>
      </c>
    </row>
    <row r="58" spans="2:27" ht="15.75" thickBot="1" x14ac:dyDescent="0.3">
      <c r="B58" s="99"/>
      <c r="E58" s="18" t="s">
        <v>200</v>
      </c>
      <c r="F58" s="17"/>
      <c r="H58" s="31" t="s">
        <v>180</v>
      </c>
      <c r="I58" s="32"/>
      <c r="J58" s="32"/>
      <c r="K58" s="32"/>
      <c r="L58" s="33" t="str">
        <f>E33</f>
        <v>één rekening</v>
      </c>
      <c r="AA58" s="128" t="str">
        <f>matrixen!L77</f>
        <v>Een zakje friet</v>
      </c>
    </row>
    <row r="59" spans="2:27" x14ac:dyDescent="0.25">
      <c r="E59" s="18" t="s">
        <v>201</v>
      </c>
      <c r="F59" s="1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128" t="str">
        <f>matrixen!L78</f>
        <v>Een BBQ worst</v>
      </c>
    </row>
    <row r="60" spans="2:27" x14ac:dyDescent="0.25">
      <c r="D60"/>
      <c r="E60" s="18" t="s">
        <v>202</v>
      </c>
      <c r="F60" s="1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128" t="str">
        <f>matrixen!L79</f>
        <v>Een ovenkoek met reuze Angus burger</v>
      </c>
    </row>
    <row r="61" spans="2:27" x14ac:dyDescent="0.25">
      <c r="D61"/>
      <c r="E61" s="18" t="s">
        <v>203</v>
      </c>
      <c r="F61" s="17"/>
      <c r="AA61" s="128" t="str">
        <f>matrixen!L80</f>
        <v>Duo van Groenlandse heilbot en scampi's met een snuifje saffraan</v>
      </c>
    </row>
    <row r="62" spans="2:27" x14ac:dyDescent="0.25">
      <c r="E62" s="18" t="s">
        <v>327</v>
      </c>
      <c r="F62" s="17"/>
      <c r="H62" s="1" t="s">
        <v>197</v>
      </c>
      <c r="K62" s="17" t="s">
        <v>173</v>
      </c>
      <c r="AA62" s="128" t="str">
        <f>matrixen!L81</f>
        <v>Bladerdeeggebakje gevuld met kip</v>
      </c>
    </row>
    <row r="63" spans="2:27" x14ac:dyDescent="0.25">
      <c r="E63" s="18" t="s">
        <v>230</v>
      </c>
      <c r="F63" s="17"/>
      <c r="AA63" s="128" t="str">
        <f>matrixen!L82</f>
        <v>Victoriabaarsfilet in preiroomsaus</v>
      </c>
    </row>
    <row r="64" spans="2:27" x14ac:dyDescent="0.25">
      <c r="C64" t="s">
        <v>231</v>
      </c>
      <c r="J64" s="46" t="s">
        <v>247</v>
      </c>
      <c r="K64" s="137" t="s">
        <v>399</v>
      </c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AA64" s="128" t="str">
        <f>matrixen!L83</f>
        <v>Witte zalmfilet in gekruide roomsaus of in kreeftenroomsaus</v>
      </c>
    </row>
    <row r="65" spans="5:27" x14ac:dyDescent="0.25">
      <c r="E65" s="18" t="s">
        <v>237</v>
      </c>
      <c r="F65" s="17"/>
      <c r="AA65" s="128" t="str">
        <f>matrixen!L84</f>
        <v>Gepocheerde verse roze zalm met bieslooksaus</v>
      </c>
    </row>
    <row r="66" spans="5:27" x14ac:dyDescent="0.25">
      <c r="E66" s="18" t="s">
        <v>238</v>
      </c>
      <c r="F66" s="17"/>
      <c r="J66" s="46" t="s">
        <v>259</v>
      </c>
      <c r="K66" s="17" t="s">
        <v>174</v>
      </c>
    </row>
    <row r="67" spans="5:27" ht="15.75" thickBot="1" x14ac:dyDescent="0.3">
      <c r="K67" s="9" t="str">
        <f>IF(K66="ja","Gelieve uw facturatiegegevens bij opmerkingen in te vullen.","")</f>
        <v/>
      </c>
    </row>
    <row r="68" spans="5:27" ht="15.75" thickBot="1" x14ac:dyDescent="0.3">
      <c r="E68" s="40" t="s">
        <v>224</v>
      </c>
      <c r="F68" s="41">
        <f ca="1">Reservatievoorstel!I14</f>
        <v>0</v>
      </c>
    </row>
    <row r="69" spans="5:27" x14ac:dyDescent="0.25">
      <c r="F69" s="2" t="s">
        <v>225</v>
      </c>
      <c r="AA69" s="128" t="str">
        <f>matrixen!X50</f>
        <v>KOUD: crunchy sushi</v>
      </c>
    </row>
    <row r="70" spans="5:27" ht="15.75" thickBot="1" x14ac:dyDescent="0.3">
      <c r="AA70" s="128" t="str">
        <f>matrixen!X51</f>
        <v>luzerne met gerookte zalm, eitjes van vliegende vis in wasabi</v>
      </c>
    </row>
    <row r="71" spans="5:27" ht="15.75" thickBot="1" x14ac:dyDescent="0.3">
      <c r="E71" s="18" t="s">
        <v>232</v>
      </c>
      <c r="F71" s="41">
        <f ca="1">F68*0.02</f>
        <v>0</v>
      </c>
      <c r="AA71" s="128" t="str">
        <f>matrixen!X52</f>
        <v>preischeuten met tijgergarnalen en mini tomaat</v>
      </c>
    </row>
    <row r="72" spans="5:27" ht="15.75" thickBot="1" x14ac:dyDescent="0.3">
      <c r="E72" s="18" t="s">
        <v>233</v>
      </c>
      <c r="F72" s="41">
        <f ca="1">F68-F71</f>
        <v>0</v>
      </c>
      <c r="AA72" s="128" t="str">
        <f>matrixen!X53</f>
        <v>aperoglaasje parmaham met meloenbolletjes</v>
      </c>
    </row>
    <row r="73" spans="5:27" x14ac:dyDescent="0.25">
      <c r="AA73" s="128" t="str">
        <f>matrixen!X54</f>
        <v>ganache van foie gras met frambozenconfituur en amandelbrood</v>
      </c>
    </row>
    <row r="74" spans="5:27" x14ac:dyDescent="0.25">
      <c r="AA74" s="128" t="str">
        <f>matrixen!X55</f>
        <v>aperoglaasje parmaham met espuma van mango</v>
      </c>
    </row>
    <row r="75" spans="5:27" x14ac:dyDescent="0.25">
      <c r="AA75" s="128" t="str">
        <f>matrixen!X56</f>
        <v>verse oester</v>
      </c>
    </row>
    <row r="76" spans="5:27" ht="26.25" x14ac:dyDescent="0.4">
      <c r="L76" s="38" t="s">
        <v>158</v>
      </c>
      <c r="AA76" s="128" t="str">
        <f>matrixen!X57</f>
        <v>Taboulé met gerookte forel</v>
      </c>
    </row>
    <row r="77" spans="5:27" ht="26.25" x14ac:dyDescent="0.4">
      <c r="L77" s="38" t="s">
        <v>109</v>
      </c>
      <c r="AA77" s="128" t="str">
        <f>matrixen!X58</f>
        <v>Haringhapje met curry</v>
      </c>
    </row>
    <row r="78" spans="5:27" ht="26.25" x14ac:dyDescent="0.4">
      <c r="L78" s="38" t="s">
        <v>243</v>
      </c>
      <c r="AA78" s="128" t="str">
        <f>matrixen!X59</f>
        <v>Mini bagel met zalm en kruidenkaas</v>
      </c>
    </row>
    <row r="79" spans="5:27" x14ac:dyDescent="0.25">
      <c r="AA79" s="128" t="str">
        <f>matrixen!X60</f>
        <v>BORD: op tafel met rauwe groenten en cocktailsaus (wortel, bloemkool, radijs)</v>
      </c>
    </row>
    <row r="80" spans="5:27" x14ac:dyDescent="0.25">
      <c r="AA80" s="128" t="str">
        <f>matrixen!X61</f>
        <v>Bord met olijven, kaasjes en salamietjes</v>
      </c>
    </row>
    <row r="81" spans="27:27" x14ac:dyDescent="0.25">
      <c r="AA81" s="128" t="str">
        <f>matrixen!X62</f>
        <v>Bord met 3 tapenades (tonijn / pesto spread rosso /zoete peper roomkaas)</v>
      </c>
    </row>
    <row r="82" spans="27:27" x14ac:dyDescent="0.25">
      <c r="AA82" s="128" t="str">
        <f>matrixen!X63</f>
        <v>WARM: mini hot-dog</v>
      </c>
    </row>
    <row r="83" spans="27:27" x14ac:dyDescent="0.25">
      <c r="AA83" s="128" t="str">
        <f>matrixen!X64</f>
        <v>Breydelspek met mosterdroomsaus</v>
      </c>
    </row>
    <row r="84" spans="27:27" x14ac:dyDescent="0.25">
      <c r="AA84" s="128" t="str">
        <f>matrixen!X65</f>
        <v>aperoglaasje scampi</v>
      </c>
    </row>
    <row r="85" spans="27:27" x14ac:dyDescent="0.25">
      <c r="AA85" s="128" t="str">
        <f>matrixen!X66</f>
        <v>Warme dagvis met curry</v>
      </c>
    </row>
    <row r="86" spans="27:27" x14ac:dyDescent="0.25">
      <c r="AA86" s="128" t="str">
        <f>matrixen!X67</f>
        <v>een gevuld toastcupje</v>
      </c>
    </row>
    <row r="87" spans="27:27" x14ac:dyDescent="0.25">
      <c r="AA87" s="128" t="str">
        <f>matrixen!X68</f>
        <v xml:space="preserve">oester met champagnesaus </v>
      </c>
    </row>
    <row r="88" spans="27:27" x14ac:dyDescent="0.25">
      <c r="AA88" s="128" t="str">
        <f>matrixen!X69</f>
        <v>garnaal in filo</v>
      </c>
    </row>
    <row r="89" spans="27:27" x14ac:dyDescent="0.25">
      <c r="AA89" s="128" t="str">
        <f>matrixen!X70</f>
        <v>mini croque</v>
      </c>
    </row>
    <row r="90" spans="27:27" x14ac:dyDescent="0.25">
      <c r="AA90" s="128" t="str">
        <f>matrixen!X71</f>
        <v>mini loempia</v>
      </c>
    </row>
    <row r="91" spans="27:27" x14ac:dyDescent="0.25">
      <c r="AA91" s="128" t="str">
        <f>matrixen!X72</f>
        <v>mini kippenboutje</v>
      </c>
    </row>
    <row r="92" spans="27:27" x14ac:dyDescent="0.25">
      <c r="AA92" s="128" t="str">
        <f>matrixen!X73</f>
        <v>Gepaneerde garnalen butterfly</v>
      </c>
    </row>
    <row r="93" spans="27:27" x14ac:dyDescent="0.25">
      <c r="AA93" s="128" t="str">
        <f>matrixen!X74</f>
        <v>SOEP van kreeft</v>
      </c>
    </row>
    <row r="94" spans="27:27" x14ac:dyDescent="0.25">
      <c r="AA94" s="128" t="str">
        <f>matrixen!X75</f>
        <v>Aspergeroomsoep met koornbloemblaadjes</v>
      </c>
    </row>
    <row r="95" spans="27:27" x14ac:dyDescent="0.25">
      <c r="AA95" s="128" t="str">
        <f>matrixen!X76</f>
        <v>Pompoensoep (sept. okt. nov.)</v>
      </c>
    </row>
    <row r="96" spans="27:27" x14ac:dyDescent="0.25">
      <c r="AA96" s="128" t="str">
        <f>matrixen!X77</f>
        <v>Kervelroomsoep met gerookte eend</v>
      </c>
    </row>
    <row r="97" spans="27:27" x14ac:dyDescent="0.25">
      <c r="AA97" s="128" t="str">
        <f>matrixen!X78</f>
        <v>Preiroomsoep met broccoligarnituur en gebakken spekjes</v>
      </c>
    </row>
    <row r="98" spans="27:27" x14ac:dyDescent="0.25">
      <c r="AA98" s="128" t="str">
        <f>matrixen!X79</f>
        <v>Soepje van boschampignons met gerookte paling</v>
      </c>
    </row>
    <row r="99" spans="27:27" x14ac:dyDescent="0.25">
      <c r="AA99" s="128" t="str">
        <f>matrixen!X80</f>
        <v>Gepaneerde garnalen butterfly</v>
      </c>
    </row>
    <row r="100" spans="27:27" x14ac:dyDescent="0.25">
      <c r="AA100" s="128" t="str">
        <f>matrixen!X81</f>
        <v>DESSERT: mini dame blanche (1 bol in wijnglas)</v>
      </c>
    </row>
    <row r="101" spans="27:27" x14ac:dyDescent="0.25">
      <c r="AA101" s="128" t="str">
        <f>matrixen!X82</f>
        <v>Bruine chocolademousse</v>
      </c>
    </row>
    <row r="102" spans="27:27" x14ac:dyDescent="0.25">
      <c r="AA102" s="128" t="str">
        <f>matrixen!X83</f>
        <v>Pasteis de nata</v>
      </c>
    </row>
    <row r="103" spans="27:27" x14ac:dyDescent="0.25">
      <c r="AA103" s="128" t="str">
        <f>matrixen!X84</f>
        <v>Chocoladebavarois</v>
      </c>
    </row>
    <row r="104" spans="27:27" x14ac:dyDescent="0.25">
      <c r="AA104" s="128" t="str">
        <f>matrixen!X85</f>
        <v xml:space="preserve">Miserable    </v>
      </c>
    </row>
    <row r="105" spans="27:27" x14ac:dyDescent="0.25">
      <c r="AA105" s="128" t="str">
        <f>matrixen!X86</f>
        <v>mini fruittaartje</v>
      </c>
    </row>
    <row r="106" spans="27:27" x14ac:dyDescent="0.25">
      <c r="AA106" s="128" t="str">
        <f>matrixen!X87</f>
        <v>glaasje fruitsla met perensorbet</v>
      </c>
    </row>
    <row r="107" spans="27:27" x14ac:dyDescent="0.25">
      <c r="AA107" s="128" t="str">
        <f>matrixen!X88</f>
        <v>Witte chocolademousse</v>
      </c>
    </row>
    <row r="108" spans="27:27" x14ac:dyDescent="0.25">
      <c r="AA108" s="128" t="str">
        <f>matrixen!X89</f>
        <v>Roomsoes met warme chocoladesaus</v>
      </c>
    </row>
    <row r="109" spans="27:27" x14ac:dyDescent="0.25">
      <c r="AA109" s="128" t="str">
        <f>matrixen!X90</f>
        <v xml:space="preserve">Tiramisu </v>
      </c>
    </row>
    <row r="110" spans="27:27" x14ac:dyDescent="0.25">
      <c r="AA110" s="128" t="str">
        <f>matrixen!X91</f>
        <v>Gebak peer-caramel</v>
      </c>
    </row>
    <row r="111" spans="27:27" x14ac:dyDescent="0.25">
      <c r="AA111" s="128" t="str">
        <f>matrixen!X92</f>
        <v>javanais</v>
      </c>
    </row>
    <row r="163" spans="27:27" x14ac:dyDescent="0.25">
      <c r="AA163" s="128">
        <f>matrixen!X143</f>
        <v>0</v>
      </c>
    </row>
    <row r="164" spans="27:27" x14ac:dyDescent="0.25">
      <c r="AA164" s="128">
        <f>matrixen!X144</f>
        <v>0</v>
      </c>
    </row>
    <row r="165" spans="27:27" x14ac:dyDescent="0.25">
      <c r="AA165" s="128">
        <f>matrixen!X145</f>
        <v>0</v>
      </c>
    </row>
    <row r="166" spans="27:27" x14ac:dyDescent="0.25">
      <c r="AA166" s="128">
        <f>matrixen!X146</f>
        <v>0</v>
      </c>
    </row>
    <row r="167" spans="27:27" x14ac:dyDescent="0.25">
      <c r="AA167" s="128">
        <f>matrixen!X147</f>
        <v>0</v>
      </c>
    </row>
    <row r="168" spans="27:27" x14ac:dyDescent="0.25">
      <c r="AA168" s="128">
        <f>matrixen!X148</f>
        <v>0</v>
      </c>
    </row>
    <row r="169" spans="27:27" x14ac:dyDescent="0.25">
      <c r="AA169" s="128">
        <f>matrixen!X149</f>
        <v>0</v>
      </c>
    </row>
    <row r="170" spans="27:27" x14ac:dyDescent="0.25">
      <c r="AA170" s="128">
        <f>matrixen!X150</f>
        <v>0</v>
      </c>
    </row>
    <row r="171" spans="27:27" x14ac:dyDescent="0.25">
      <c r="AA171" s="128">
        <f>matrixen!X151</f>
        <v>0</v>
      </c>
    </row>
    <row r="172" spans="27:27" x14ac:dyDescent="0.25">
      <c r="AA172" s="128">
        <f>matrixen!X152</f>
        <v>0</v>
      </c>
    </row>
    <row r="173" spans="27:27" x14ac:dyDescent="0.25">
      <c r="AA173" s="128">
        <f>matrixen!X153</f>
        <v>0</v>
      </c>
    </row>
  </sheetData>
  <sheetProtection algorithmName="SHA-512" hashValue="Oujl0oL//ma+io9ZOeACS3ZDD/CxONb3NKzRC8peR8dzc/6gWLs3EW/JRXKe/lwJpojTU14efVYBUbNfnclKMw==" saltValue="fTyduh7v6QvcDhJwuamv9A==" spinCount="100000" sheet="1" objects="1" scenarios="1" selectLockedCells="1"/>
  <mergeCells count="10">
    <mergeCell ref="B31:B32"/>
    <mergeCell ref="F15:G15"/>
    <mergeCell ref="H49:K49"/>
    <mergeCell ref="K64:V64"/>
    <mergeCell ref="F31:F41"/>
    <mergeCell ref="F23:I23"/>
    <mergeCell ref="F24:I24"/>
    <mergeCell ref="F25:I25"/>
    <mergeCell ref="F26:I26"/>
    <mergeCell ref="F27:I27"/>
  </mergeCells>
  <conditionalFormatting sqref="G54">
    <cfRule type="cellIs" dxfId="19" priority="7" operator="greaterThan">
      <formula>604.73</formula>
    </cfRule>
    <cfRule type="cellIs" dxfId="18" priority="8" operator="greaterThan">
      <formula>0</formula>
    </cfRule>
  </conditionalFormatting>
  <conditionalFormatting sqref="F31">
    <cfRule type="containsText" dxfId="17" priority="4" operator="containsText" text="hapjes">
      <formula>NOT(ISERROR(SEARCH("hapjes",F31)))</formula>
    </cfRule>
  </conditionalFormatting>
  <conditionalFormatting sqref="F12">
    <cfRule type="containsText" dxfId="16" priority="3" operator="containsText" text="moet">
      <formula>NOT(ISERROR(SEARCH("moet",F12)))</formula>
    </cfRule>
  </conditionalFormatting>
  <conditionalFormatting sqref="B31:B32">
    <cfRule type="containsText" dxfId="15" priority="2" operator="containsText" text="forfait">
      <formula>NOT(ISERROR(SEARCH("forfait",B31)))</formula>
    </cfRule>
  </conditionalFormatting>
  <conditionalFormatting sqref="F15">
    <cfRule type="containsText" dxfId="14" priority="1" operator="containsText" text="nocturne">
      <formula>NOT(ISERROR(SEARCH("nocturne",F15)))</formula>
    </cfRule>
  </conditionalFormatting>
  <dataValidations count="13">
    <dataValidation type="whole" errorStyle="warning" allowBlank="1" showInputMessage="1" showErrorMessage="1" errorTitle="Bent u zeker?" error="U geeft bij voorkeur een getal in  tussen 10 en 250. Let op de verkoopsvoorwaarden punt 7!" sqref="F50" xr:uid="{00000000-0002-0000-0000-000000000000}">
      <formula1>10</formula1>
      <formula2>250</formula2>
    </dataValidation>
    <dataValidation type="list" allowBlank="1" showInputMessage="1" showErrorMessage="1" sqref="B21" xr:uid="{00000000-0002-0000-0000-000001000000}">
      <formula1>$AA$24:$AA$26</formula1>
    </dataValidation>
    <dataValidation type="list" allowBlank="1" showInputMessage="1" showErrorMessage="1" sqref="B33" xr:uid="{00000000-0002-0000-0000-000002000000}">
      <formula1>$AA$42:$AA$44</formula1>
    </dataValidation>
    <dataValidation type="list" allowBlank="1" showInputMessage="1" showErrorMessage="1" sqref="G42 G44 K62 K66 K42 I44 I42 B47" xr:uid="{00000000-0002-0000-0000-000003000000}">
      <formula1>$AA$46:$AA$47</formula1>
    </dataValidation>
    <dataValidation type="list" allowBlank="1" showInputMessage="1" showErrorMessage="1" sqref="B16" xr:uid="{00000000-0002-0000-0000-000004000000}">
      <formula1>$B$17:$B$18</formula1>
    </dataValidation>
    <dataValidation type="whole" allowBlank="1" showInputMessage="1" showErrorMessage="1" sqref="F51:F53" xr:uid="{00000000-0002-0000-0000-000005000000}">
      <formula1>0</formula1>
      <formula2>100</formula2>
    </dataValidation>
    <dataValidation type="whole" allowBlank="1" showInputMessage="1" showErrorMessage="1" errorTitle="NCBR" error="U kunt alleen een geheel getal van 0 tot 2 invoeren." promptTitle="Extra uren drank" prompt="Voer hier één van de volgende getallen in: 0, 1 of 2_x000a_" sqref="B36" xr:uid="{00000000-0002-0000-0000-000006000000}">
      <formula1>0</formula1>
      <formula2>2</formula2>
    </dataValidation>
    <dataValidation type="list" allowBlank="1" showInputMessage="1" showErrorMessage="1" sqref="B39" xr:uid="{00000000-0002-0000-0000-000007000000}">
      <formula1>$AA$48:$AA$49</formula1>
    </dataValidation>
    <dataValidation type="list" allowBlank="1" showInputMessage="1" showErrorMessage="1" sqref="B12" xr:uid="{00000000-0002-0000-0000-000008000000}">
      <formula1>$AA$12:$AA$23</formula1>
    </dataValidation>
    <dataValidation type="list" allowBlank="1" showInputMessage="1" showErrorMessage="1" sqref="K64:V64" xr:uid="{00000000-0002-0000-0000-000009000000}">
      <formula1>$AA$52:$AA$54</formula1>
    </dataValidation>
    <dataValidation type="list" allowBlank="1" showInputMessage="1" showErrorMessage="1" sqref="B41 B45 B43" xr:uid="{00000000-0002-0000-0000-00000A000000}">
      <formula1>$AA$56:$AA$65</formula1>
    </dataValidation>
    <dataValidation type="list" allowBlank="1" showInputMessage="1" showErrorMessage="1" sqref="B25:B28 F23:F27" xr:uid="{00000000-0002-0000-0000-00000B000000}">
      <formula1>hapjes</formula1>
    </dataValidation>
    <dataValidation type="date" operator="greaterThan" allowBlank="1" showInputMessage="1" showErrorMessage="1" errorTitle="NCBR" error="De datum moet in de toekomst liggen!_x000a_" prompt="Om uw keuze te bewaren, kies “opslaan als” en sla het bestand op op uw harde schijf. " sqref="F48" xr:uid="{00000000-0002-0000-0000-00000C000000}">
      <formula1>L1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Herbegin">
                <anchor moveWithCells="1" sizeWithCells="1">
                  <from>
                    <xdr:col>1</xdr:col>
                    <xdr:colOff>104775</xdr:colOff>
                    <xdr:row>3</xdr:row>
                    <xdr:rowOff>123825</xdr:rowOff>
                  </from>
                  <to>
                    <xdr:col>1</xdr:col>
                    <xdr:colOff>1733550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Druk_voorstel_af">
                <anchor moveWithCells="1" sizeWithCells="1">
                  <from>
                    <xdr:col>1</xdr:col>
                    <xdr:colOff>1905000</xdr:colOff>
                    <xdr:row>3</xdr:row>
                    <xdr:rowOff>142875</xdr:rowOff>
                  </from>
                  <to>
                    <xdr:col>1</xdr:col>
                    <xdr:colOff>3505200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OPGELET!" prompt="De tekst die in de gele vakken staat mag gewoon blijven staan indien u niets wenst te selecteren maar geen enkel geel vak mag helemaal leeg zijn, anders werkt dit hulpmiddel niet." xr:uid="{00000000-0002-0000-0000-00000D000000}">
          <x14:formula1>
            <xm:f>matrixen!$X$14:$AH$14</xm:f>
          </x14:formula1>
          <xm:sqref>B12</xm:sqref>
        </x14:dataValidation>
        <x14:dataValidation type="list" allowBlank="1" showInputMessage="1" showErrorMessage="1" xr:uid="{00000000-0002-0000-0000-00000E000000}">
          <x14:formula1>
            <xm:f>matrixen!$A$381:$A$383</xm:f>
          </x14:formula1>
          <xm:sqref>K64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H383"/>
  <sheetViews>
    <sheetView showGridLines="0" showRowColHeaders="0" workbookViewId="0"/>
  </sheetViews>
  <sheetFormatPr defaultColWidth="13.42578125" defaultRowHeight="15" x14ac:dyDescent="0.25"/>
  <cols>
    <col min="1" max="16384" width="13.42578125" style="107"/>
  </cols>
  <sheetData>
    <row r="1" spans="2:34" x14ac:dyDescent="0.25">
      <c r="B1" s="106">
        <v>43830</v>
      </c>
      <c r="L1" s="108" t="s">
        <v>333</v>
      </c>
      <c r="M1" s="108"/>
      <c r="N1" s="108"/>
      <c r="O1" s="108"/>
      <c r="P1" s="108">
        <v>15</v>
      </c>
      <c r="AG1" s="107" t="s">
        <v>30</v>
      </c>
    </row>
    <row r="2" spans="2:34" x14ac:dyDescent="0.25">
      <c r="L2" s="108" t="s">
        <v>334</v>
      </c>
      <c r="M2" s="108"/>
      <c r="N2" s="108"/>
      <c r="O2" s="108">
        <v>0.7</v>
      </c>
      <c r="P2" s="108" t="s">
        <v>335</v>
      </c>
      <c r="Q2" s="108"/>
      <c r="R2" s="108">
        <v>10</v>
      </c>
      <c r="S2" s="108" t="s">
        <v>336</v>
      </c>
      <c r="AG2" s="107" t="s">
        <v>31</v>
      </c>
      <c r="AH2" s="107" t="s">
        <v>40</v>
      </c>
    </row>
    <row r="3" spans="2:34" x14ac:dyDescent="0.25">
      <c r="AH3" s="107" t="s">
        <v>310</v>
      </c>
    </row>
    <row r="4" spans="2:34" x14ac:dyDescent="0.25">
      <c r="AH4" s="107" t="s">
        <v>44</v>
      </c>
    </row>
    <row r="7" spans="2:34" x14ac:dyDescent="0.25">
      <c r="B7" s="107" t="s">
        <v>115</v>
      </c>
      <c r="E7" s="109">
        <v>950</v>
      </c>
    </row>
    <row r="13" spans="2:34" x14ac:dyDescent="0.25">
      <c r="B13" s="107" t="s">
        <v>78</v>
      </c>
      <c r="I13" s="109">
        <v>0</v>
      </c>
    </row>
    <row r="14" spans="2:34" ht="60" customHeight="1" x14ac:dyDescent="0.25">
      <c r="B14" s="107" t="s">
        <v>404</v>
      </c>
      <c r="I14" s="110">
        <v>27</v>
      </c>
      <c r="K14" s="111" t="s">
        <v>78</v>
      </c>
      <c r="L14" s="111" t="s">
        <v>404</v>
      </c>
      <c r="M14" s="111" t="s">
        <v>405</v>
      </c>
      <c r="N14" s="111" t="s">
        <v>68</v>
      </c>
      <c r="O14" s="111" t="s">
        <v>414</v>
      </c>
      <c r="P14" s="111"/>
      <c r="Q14" s="111"/>
      <c r="R14" s="111" t="s">
        <v>67</v>
      </c>
      <c r="S14" s="111" t="s">
        <v>311</v>
      </c>
      <c r="T14" s="111" t="s">
        <v>312</v>
      </c>
      <c r="U14" s="111" t="s">
        <v>313</v>
      </c>
      <c r="V14" s="111" t="s">
        <v>314</v>
      </c>
      <c r="W14" s="107" t="s">
        <v>78</v>
      </c>
      <c r="X14" s="111" t="s">
        <v>404</v>
      </c>
      <c r="Y14" s="111" t="s">
        <v>405</v>
      </c>
      <c r="Z14" s="111" t="s">
        <v>68</v>
      </c>
      <c r="AA14" s="111" t="s">
        <v>414</v>
      </c>
      <c r="AB14" s="111">
        <v>0</v>
      </c>
      <c r="AC14" s="111">
        <v>0</v>
      </c>
      <c r="AD14" s="111" t="s">
        <v>67</v>
      </c>
      <c r="AE14" s="111" t="s">
        <v>311</v>
      </c>
      <c r="AF14" s="111" t="s">
        <v>312</v>
      </c>
      <c r="AG14" s="111" t="s">
        <v>313</v>
      </c>
      <c r="AH14" s="111" t="s">
        <v>314</v>
      </c>
    </row>
    <row r="15" spans="2:34" x14ac:dyDescent="0.25">
      <c r="B15" s="107" t="s">
        <v>405</v>
      </c>
      <c r="I15" s="110">
        <v>27</v>
      </c>
      <c r="K15" s="112"/>
      <c r="L15" s="112" t="s">
        <v>274</v>
      </c>
      <c r="M15" s="112" t="s">
        <v>406</v>
      </c>
      <c r="N15" s="112" t="s">
        <v>275</v>
      </c>
      <c r="O15" s="112" t="s">
        <v>274</v>
      </c>
      <c r="P15" s="112"/>
      <c r="Q15" s="112"/>
      <c r="R15" s="112" t="s">
        <v>92</v>
      </c>
      <c r="S15" s="112" t="s">
        <v>99</v>
      </c>
      <c r="T15" s="112" t="s">
        <v>99</v>
      </c>
      <c r="U15" s="112" t="s">
        <v>99</v>
      </c>
      <c r="V15" s="112" t="s">
        <v>99</v>
      </c>
      <c r="W15" s="112"/>
      <c r="X15" s="112" t="s">
        <v>86</v>
      </c>
      <c r="Y15" s="112" t="s">
        <v>86</v>
      </c>
      <c r="Z15" s="112" t="s">
        <v>351</v>
      </c>
      <c r="AA15" s="112" t="s">
        <v>86</v>
      </c>
      <c r="AB15" s="112">
        <v>0</v>
      </c>
      <c r="AC15" s="112">
        <v>0</v>
      </c>
      <c r="AD15" s="112" t="s">
        <v>351</v>
      </c>
      <c r="AE15" s="107" t="s">
        <v>27</v>
      </c>
      <c r="AF15" s="107" t="s">
        <v>27</v>
      </c>
      <c r="AG15" s="107" t="s">
        <v>27</v>
      </c>
      <c r="AH15" s="107" t="s">
        <v>27</v>
      </c>
    </row>
    <row r="16" spans="2:34" x14ac:dyDescent="0.25">
      <c r="B16" s="107" t="s">
        <v>68</v>
      </c>
      <c r="I16" s="110">
        <v>18.100000000000001</v>
      </c>
      <c r="K16" s="112"/>
      <c r="L16" s="112" t="s">
        <v>276</v>
      </c>
      <c r="M16" s="112" t="s">
        <v>407</v>
      </c>
      <c r="N16" s="112" t="s">
        <v>277</v>
      </c>
      <c r="O16" s="112" t="s">
        <v>276</v>
      </c>
      <c r="P16" s="112"/>
      <c r="Q16" s="112"/>
      <c r="R16" s="112" t="s">
        <v>96</v>
      </c>
      <c r="S16" s="112" t="s">
        <v>98</v>
      </c>
      <c r="T16" s="112" t="s">
        <v>98</v>
      </c>
      <c r="U16" s="112" t="s">
        <v>98</v>
      </c>
      <c r="V16" s="112" t="s">
        <v>98</v>
      </c>
      <c r="W16" s="112"/>
      <c r="X16" s="112" t="s">
        <v>278</v>
      </c>
      <c r="Y16" s="112" t="s">
        <v>278</v>
      </c>
      <c r="Z16" s="112" t="s">
        <v>352</v>
      </c>
      <c r="AA16" s="112" t="s">
        <v>278</v>
      </c>
      <c r="AB16" s="112">
        <v>0</v>
      </c>
      <c r="AC16" s="112">
        <v>0</v>
      </c>
      <c r="AD16" s="112" t="s">
        <v>352</v>
      </c>
      <c r="AE16" s="107" t="s">
        <v>28</v>
      </c>
      <c r="AF16" s="107" t="s">
        <v>28</v>
      </c>
      <c r="AG16" s="107" t="s">
        <v>28</v>
      </c>
      <c r="AH16" s="107" t="s">
        <v>28</v>
      </c>
    </row>
    <row r="17" spans="2:34" x14ac:dyDescent="0.25">
      <c r="B17" s="107" t="s">
        <v>67</v>
      </c>
      <c r="I17" s="110">
        <v>15.5</v>
      </c>
      <c r="K17" s="112"/>
      <c r="L17" s="112" t="s">
        <v>91</v>
      </c>
      <c r="M17" s="112" t="s">
        <v>412</v>
      </c>
      <c r="N17" s="112" t="s">
        <v>280</v>
      </c>
      <c r="O17" s="112" t="s">
        <v>91</v>
      </c>
      <c r="P17" s="112"/>
      <c r="Q17" s="112"/>
      <c r="R17" s="112" t="s">
        <v>93</v>
      </c>
      <c r="S17" s="112" t="s">
        <v>100</v>
      </c>
      <c r="T17" s="112" t="s">
        <v>100</v>
      </c>
      <c r="U17" s="112" t="s">
        <v>100</v>
      </c>
      <c r="V17" s="112" t="s">
        <v>100</v>
      </c>
      <c r="W17" s="112"/>
      <c r="X17" s="112" t="s">
        <v>281</v>
      </c>
      <c r="Y17" s="112" t="s">
        <v>281</v>
      </c>
      <c r="Z17" s="112" t="s">
        <v>353</v>
      </c>
      <c r="AA17" s="112" t="s">
        <v>281</v>
      </c>
      <c r="AB17" s="112">
        <v>0</v>
      </c>
      <c r="AC17" s="112">
        <v>0</v>
      </c>
      <c r="AD17" s="112" t="s">
        <v>353</v>
      </c>
      <c r="AE17" s="107" t="s">
        <v>29</v>
      </c>
      <c r="AF17" s="107" t="s">
        <v>29</v>
      </c>
      <c r="AG17" s="107" t="s">
        <v>29</v>
      </c>
      <c r="AH17" s="107" t="s">
        <v>29</v>
      </c>
    </row>
    <row r="18" spans="2:34" x14ac:dyDescent="0.25">
      <c r="B18" s="107" t="s">
        <v>414</v>
      </c>
      <c r="I18" s="110">
        <v>27</v>
      </c>
      <c r="K18" s="112"/>
      <c r="L18" s="112" t="s">
        <v>419</v>
      </c>
      <c r="M18" s="112" t="s">
        <v>408</v>
      </c>
      <c r="N18" s="112" t="s">
        <v>282</v>
      </c>
      <c r="O18" s="112" t="s">
        <v>415</v>
      </c>
      <c r="P18" s="112"/>
      <c r="Q18" s="112"/>
      <c r="R18" s="112" t="s">
        <v>95</v>
      </c>
      <c r="S18" s="112" t="s">
        <v>102</v>
      </c>
      <c r="T18" s="112" t="s">
        <v>102</v>
      </c>
      <c r="U18" s="112" t="s">
        <v>102</v>
      </c>
      <c r="V18" s="112" t="s">
        <v>102</v>
      </c>
      <c r="W18" s="112"/>
      <c r="X18" s="113" t="s">
        <v>283</v>
      </c>
      <c r="Y18" s="112" t="s">
        <v>283</v>
      </c>
      <c r="Z18" s="112" t="s">
        <v>354</v>
      </c>
      <c r="AA18" s="112" t="s">
        <v>283</v>
      </c>
      <c r="AB18" s="112">
        <v>0</v>
      </c>
      <c r="AC18" s="112">
        <v>0</v>
      </c>
      <c r="AD18" s="112" t="s">
        <v>354</v>
      </c>
      <c r="AE18" s="107" t="s">
        <v>352</v>
      </c>
      <c r="AF18" s="107" t="s">
        <v>352</v>
      </c>
      <c r="AG18" s="107" t="s">
        <v>279</v>
      </c>
      <c r="AH18" s="107" t="s">
        <v>279</v>
      </c>
    </row>
    <row r="19" spans="2:34" x14ac:dyDescent="0.25">
      <c r="B19" s="107" t="s">
        <v>311</v>
      </c>
      <c r="I19" s="110">
        <v>33</v>
      </c>
      <c r="K19" s="112"/>
      <c r="L19" s="112" t="s">
        <v>417</v>
      </c>
      <c r="M19" s="112" t="s">
        <v>409</v>
      </c>
      <c r="N19" s="112" t="s">
        <v>284</v>
      </c>
      <c r="O19" s="112" t="s">
        <v>416</v>
      </c>
      <c r="P19" s="112"/>
      <c r="Q19" s="112"/>
      <c r="R19" s="112" t="s">
        <v>94</v>
      </c>
      <c r="S19" s="112" t="s">
        <v>101</v>
      </c>
      <c r="T19" s="112" t="s">
        <v>101</v>
      </c>
      <c r="U19" s="112" t="s">
        <v>101</v>
      </c>
      <c r="V19" s="112" t="s">
        <v>101</v>
      </c>
      <c r="W19" s="112"/>
      <c r="X19" s="107" t="s">
        <v>84</v>
      </c>
      <c r="Y19" s="112" t="s">
        <v>84</v>
      </c>
      <c r="Z19" s="112" t="s">
        <v>355</v>
      </c>
      <c r="AA19" s="112" t="s">
        <v>84</v>
      </c>
      <c r="AB19" s="112">
        <v>0</v>
      </c>
      <c r="AC19" s="112">
        <v>0</v>
      </c>
      <c r="AD19" s="112" t="s">
        <v>355</v>
      </c>
      <c r="AE19" s="107" t="s">
        <v>51</v>
      </c>
      <c r="AF19" s="107" t="s">
        <v>51</v>
      </c>
      <c r="AG19" s="107" t="s">
        <v>51</v>
      </c>
      <c r="AH19" s="107" t="s">
        <v>51</v>
      </c>
    </row>
    <row r="20" spans="2:34" x14ac:dyDescent="0.25">
      <c r="B20" s="107" t="s">
        <v>312</v>
      </c>
      <c r="I20" s="110">
        <v>36</v>
      </c>
      <c r="K20" s="112"/>
      <c r="L20" s="112" t="s">
        <v>418</v>
      </c>
      <c r="M20" s="112" t="s">
        <v>410</v>
      </c>
      <c r="N20" s="112" t="s">
        <v>401</v>
      </c>
      <c r="O20" s="112"/>
      <c r="P20" s="112"/>
      <c r="Q20" s="112"/>
      <c r="R20" s="112" t="s">
        <v>97</v>
      </c>
      <c r="S20" s="112" t="s">
        <v>318</v>
      </c>
      <c r="T20" s="112" t="s">
        <v>318</v>
      </c>
      <c r="U20" s="112" t="s">
        <v>319</v>
      </c>
      <c r="V20" s="112" t="s">
        <v>319</v>
      </c>
      <c r="W20" s="112"/>
      <c r="X20" s="107" t="s">
        <v>246</v>
      </c>
      <c r="Y20" s="112" t="s">
        <v>246</v>
      </c>
      <c r="Z20" s="112">
        <v>0</v>
      </c>
      <c r="AA20" s="112" t="s">
        <v>246</v>
      </c>
      <c r="AB20" s="112">
        <v>0</v>
      </c>
      <c r="AC20" s="112">
        <v>0</v>
      </c>
      <c r="AD20" s="112">
        <v>0</v>
      </c>
      <c r="AE20" s="107" t="s">
        <v>49</v>
      </c>
      <c r="AF20" s="107" t="s">
        <v>49</v>
      </c>
      <c r="AG20" s="107" t="s">
        <v>49</v>
      </c>
      <c r="AH20" s="107" t="s">
        <v>49</v>
      </c>
    </row>
    <row r="21" spans="2:34" x14ac:dyDescent="0.25">
      <c r="I21" s="110"/>
      <c r="K21" s="112"/>
      <c r="L21" s="112" t="s">
        <v>420</v>
      </c>
      <c r="M21" s="112"/>
      <c r="N21" s="112" t="s">
        <v>402</v>
      </c>
      <c r="O21" s="112"/>
      <c r="P21" s="112"/>
      <c r="Q21" s="112"/>
      <c r="R21" s="112"/>
      <c r="S21" s="112" t="s">
        <v>320</v>
      </c>
      <c r="T21" s="112" t="s">
        <v>321</v>
      </c>
      <c r="U21" s="112" t="s">
        <v>322</v>
      </c>
      <c r="V21" s="112" t="s">
        <v>323</v>
      </c>
      <c r="W21" s="112"/>
      <c r="X21" s="107" t="s">
        <v>285</v>
      </c>
      <c r="Y21" s="112" t="s">
        <v>285</v>
      </c>
      <c r="Z21" s="112" t="s">
        <v>356</v>
      </c>
      <c r="AA21" s="112" t="s">
        <v>285</v>
      </c>
      <c r="AB21" s="112">
        <v>0</v>
      </c>
      <c r="AC21" s="112">
        <v>0</v>
      </c>
      <c r="AD21" s="112" t="s">
        <v>362</v>
      </c>
      <c r="AE21" s="107" t="s">
        <v>50</v>
      </c>
      <c r="AF21" s="107" t="s">
        <v>50</v>
      </c>
      <c r="AG21" s="107" t="s">
        <v>50</v>
      </c>
      <c r="AH21" s="107" t="s">
        <v>50</v>
      </c>
    </row>
    <row r="22" spans="2:34" x14ac:dyDescent="0.25">
      <c r="B22" s="107" t="s">
        <v>313</v>
      </c>
      <c r="I22" s="110">
        <v>33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 t="s">
        <v>324</v>
      </c>
      <c r="U22" s="112"/>
      <c r="V22" s="112" t="s">
        <v>324</v>
      </c>
      <c r="W22" s="112"/>
      <c r="X22" s="107" t="s">
        <v>286</v>
      </c>
      <c r="Y22" s="112" t="s">
        <v>286</v>
      </c>
      <c r="Z22" s="112" t="s">
        <v>365</v>
      </c>
      <c r="AA22" s="112" t="s">
        <v>286</v>
      </c>
      <c r="AB22" s="112">
        <v>0</v>
      </c>
      <c r="AC22" s="112"/>
      <c r="AD22" s="112" t="s">
        <v>363</v>
      </c>
      <c r="AE22" s="114" t="s">
        <v>30</v>
      </c>
      <c r="AF22" s="114" t="s">
        <v>30</v>
      </c>
      <c r="AG22" s="107" t="s">
        <v>30</v>
      </c>
      <c r="AH22" s="107" t="s">
        <v>30</v>
      </c>
    </row>
    <row r="23" spans="2:34" x14ac:dyDescent="0.25">
      <c r="B23" s="107" t="s">
        <v>314</v>
      </c>
      <c r="I23" s="110">
        <v>36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07" t="s">
        <v>85</v>
      </c>
      <c r="Y23" s="112" t="s">
        <v>85</v>
      </c>
      <c r="Z23" s="112" t="s">
        <v>357</v>
      </c>
      <c r="AA23" s="112" t="s">
        <v>85</v>
      </c>
      <c r="AB23" s="112"/>
      <c r="AC23" s="112"/>
      <c r="AD23" s="112" t="s">
        <v>364</v>
      </c>
      <c r="AE23" s="114"/>
      <c r="AF23" s="114"/>
    </row>
    <row r="24" spans="2:34" x14ac:dyDescent="0.25">
      <c r="I24" s="110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07" t="s">
        <v>288</v>
      </c>
      <c r="Y24" s="112" t="s">
        <v>288</v>
      </c>
      <c r="Z24" s="112" t="s">
        <v>358</v>
      </c>
      <c r="AA24" s="112" t="s">
        <v>288</v>
      </c>
      <c r="AB24" s="112">
        <v>0</v>
      </c>
      <c r="AC24" s="112"/>
      <c r="AD24" s="112">
        <v>0</v>
      </c>
      <c r="AE24" s="107" t="s">
        <v>35</v>
      </c>
      <c r="AF24" s="107" t="s">
        <v>35</v>
      </c>
      <c r="AG24" s="107" t="s">
        <v>35</v>
      </c>
      <c r="AH24" s="107" t="s">
        <v>35</v>
      </c>
    </row>
    <row r="25" spans="2:34" x14ac:dyDescent="0.25">
      <c r="B25" s="107" t="s">
        <v>287</v>
      </c>
      <c r="I25" s="110">
        <v>0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07" t="s">
        <v>289</v>
      </c>
      <c r="Y25" s="112" t="s">
        <v>289</v>
      </c>
      <c r="Z25" s="112"/>
      <c r="AA25" s="112" t="s">
        <v>289</v>
      </c>
      <c r="AB25" s="112">
        <v>0</v>
      </c>
      <c r="AC25" s="112">
        <v>0</v>
      </c>
      <c r="AD25" s="112">
        <v>0</v>
      </c>
      <c r="AE25" s="107" t="s">
        <v>31</v>
      </c>
      <c r="AF25" s="107" t="s">
        <v>31</v>
      </c>
      <c r="AG25" s="107" t="s">
        <v>31</v>
      </c>
      <c r="AH25" s="107" t="s">
        <v>31</v>
      </c>
    </row>
    <row r="26" spans="2:34" x14ac:dyDescent="0.25">
      <c r="B26" s="107" t="s">
        <v>76</v>
      </c>
      <c r="I26" s="110">
        <v>3.25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07" t="s">
        <v>337</v>
      </c>
      <c r="Y26" s="112" t="s">
        <v>337</v>
      </c>
      <c r="Z26" s="112">
        <v>0</v>
      </c>
      <c r="AA26" s="112" t="s">
        <v>337</v>
      </c>
      <c r="AB26" s="112">
        <v>0</v>
      </c>
      <c r="AC26" s="112">
        <v>0</v>
      </c>
      <c r="AD26" s="112">
        <v>0</v>
      </c>
      <c r="AE26" s="107" t="s">
        <v>32</v>
      </c>
      <c r="AF26" s="107" t="s">
        <v>32</v>
      </c>
      <c r="AG26" s="107" t="s">
        <v>32</v>
      </c>
      <c r="AH26" s="107" t="s">
        <v>32</v>
      </c>
    </row>
    <row r="27" spans="2:34" x14ac:dyDescent="0.25">
      <c r="B27" s="107" t="s">
        <v>77</v>
      </c>
      <c r="I27" s="110">
        <v>7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07" t="s">
        <v>290</v>
      </c>
      <c r="Y27" s="112" t="s">
        <v>290</v>
      </c>
      <c r="Z27" s="112" t="s">
        <v>359</v>
      </c>
      <c r="AA27" s="112" t="s">
        <v>290</v>
      </c>
      <c r="AB27" s="112">
        <v>0</v>
      </c>
      <c r="AC27" s="112">
        <v>0</v>
      </c>
      <c r="AD27" s="112">
        <v>0</v>
      </c>
      <c r="AE27" s="107" t="s">
        <v>33</v>
      </c>
      <c r="AF27" s="107" t="s">
        <v>33</v>
      </c>
      <c r="AG27" s="107" t="s">
        <v>33</v>
      </c>
      <c r="AH27" s="107" t="s">
        <v>33</v>
      </c>
    </row>
    <row r="28" spans="2:34" x14ac:dyDescent="0.25"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07" t="s">
        <v>291</v>
      </c>
      <c r="Y28" s="112" t="s">
        <v>291</v>
      </c>
      <c r="Z28" s="112" t="s">
        <v>360</v>
      </c>
      <c r="AA28" s="112" t="s">
        <v>291</v>
      </c>
      <c r="AB28" s="112">
        <v>0</v>
      </c>
      <c r="AC28" s="112">
        <v>0</v>
      </c>
      <c r="AD28" s="112"/>
      <c r="AE28" s="107" t="s">
        <v>34</v>
      </c>
      <c r="AF28" s="107" t="s">
        <v>34</v>
      </c>
      <c r="AG28" s="107" t="s">
        <v>34</v>
      </c>
      <c r="AH28" s="107" t="s">
        <v>34</v>
      </c>
    </row>
    <row r="29" spans="2:34" x14ac:dyDescent="0.25"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 t="s">
        <v>292</v>
      </c>
      <c r="Y29" s="112" t="s">
        <v>292</v>
      </c>
      <c r="Z29" s="112"/>
      <c r="AA29" s="112" t="s">
        <v>292</v>
      </c>
      <c r="AB29" s="112">
        <v>0</v>
      </c>
      <c r="AC29" s="112">
        <v>0</v>
      </c>
      <c r="AD29" s="112"/>
      <c r="AE29" s="114" t="s">
        <v>88</v>
      </c>
      <c r="AF29" s="115" t="s">
        <v>89</v>
      </c>
      <c r="AG29" s="107" t="s">
        <v>315</v>
      </c>
      <c r="AH29" s="107" t="s">
        <v>315</v>
      </c>
    </row>
    <row r="30" spans="2:34" x14ac:dyDescent="0.25">
      <c r="X30" s="107" t="s">
        <v>293</v>
      </c>
      <c r="Y30" s="107" t="s">
        <v>293</v>
      </c>
      <c r="AA30" s="107" t="s">
        <v>293</v>
      </c>
      <c r="AE30" s="107" t="s">
        <v>40</v>
      </c>
      <c r="AF30" s="107" t="s">
        <v>90</v>
      </c>
      <c r="AG30" s="107" t="s">
        <v>316</v>
      </c>
      <c r="AH30" s="107" t="s">
        <v>316</v>
      </c>
    </row>
    <row r="31" spans="2:34" x14ac:dyDescent="0.25">
      <c r="B31" s="107" t="s">
        <v>69</v>
      </c>
      <c r="I31" s="110">
        <v>16.5</v>
      </c>
      <c r="X31" s="107" t="s">
        <v>294</v>
      </c>
      <c r="Y31" s="107" t="s">
        <v>294</v>
      </c>
      <c r="AA31" s="107" t="s">
        <v>294</v>
      </c>
      <c r="AE31" s="107" t="s">
        <v>41</v>
      </c>
      <c r="AF31" s="114" t="s">
        <v>88</v>
      </c>
      <c r="AG31" s="107" t="s">
        <v>317</v>
      </c>
      <c r="AH31" s="107" t="s">
        <v>317</v>
      </c>
    </row>
    <row r="32" spans="2:34" x14ac:dyDescent="0.25">
      <c r="B32" s="107" t="s">
        <v>65</v>
      </c>
      <c r="I32" s="110">
        <v>2.5</v>
      </c>
      <c r="X32" s="107" t="s">
        <v>295</v>
      </c>
      <c r="Y32" s="107" t="s">
        <v>295</v>
      </c>
      <c r="AA32" s="107" t="s">
        <v>295</v>
      </c>
      <c r="AE32" s="107" t="s">
        <v>42</v>
      </c>
      <c r="AF32" s="107" t="s">
        <v>40</v>
      </c>
      <c r="AG32" s="107" t="s">
        <v>88</v>
      </c>
      <c r="AH32" s="107" t="s">
        <v>89</v>
      </c>
    </row>
    <row r="33" spans="2:34" x14ac:dyDescent="0.25">
      <c r="I33" s="116"/>
      <c r="X33" s="107" t="s">
        <v>296</v>
      </c>
      <c r="Y33" s="107" t="s">
        <v>296</v>
      </c>
      <c r="AA33" s="107" t="s">
        <v>296</v>
      </c>
      <c r="AE33" s="107" t="s">
        <v>43</v>
      </c>
      <c r="AF33" s="107" t="s">
        <v>41</v>
      </c>
      <c r="AG33" s="114" t="s">
        <v>40</v>
      </c>
      <c r="AH33" s="107" t="s">
        <v>90</v>
      </c>
    </row>
    <row r="34" spans="2:34" x14ac:dyDescent="0.25">
      <c r="I34" s="116"/>
      <c r="X34" s="114" t="s">
        <v>297</v>
      </c>
      <c r="Y34" s="107" t="s">
        <v>297</v>
      </c>
      <c r="AA34" s="107" t="s">
        <v>297</v>
      </c>
      <c r="AE34" s="107" t="s">
        <v>44</v>
      </c>
      <c r="AF34" s="107" t="s">
        <v>42</v>
      </c>
      <c r="AG34" s="114" t="s">
        <v>43</v>
      </c>
      <c r="AH34" s="107" t="s">
        <v>88</v>
      </c>
    </row>
    <row r="35" spans="2:34" x14ac:dyDescent="0.25">
      <c r="B35" s="107" t="s">
        <v>70</v>
      </c>
      <c r="I35" s="110">
        <v>6</v>
      </c>
      <c r="X35" s="107" t="s">
        <v>298</v>
      </c>
      <c r="Y35" s="107" t="s">
        <v>298</v>
      </c>
      <c r="AA35" s="107" t="s">
        <v>298</v>
      </c>
      <c r="AE35" s="107" t="s">
        <v>45</v>
      </c>
      <c r="AF35" s="107" t="s">
        <v>43</v>
      </c>
      <c r="AG35" s="114" t="s">
        <v>44</v>
      </c>
      <c r="AH35" s="114" t="s">
        <v>40</v>
      </c>
    </row>
    <row r="36" spans="2:34" x14ac:dyDescent="0.25">
      <c r="B36" s="107" t="s">
        <v>0</v>
      </c>
      <c r="I36" s="110">
        <v>6</v>
      </c>
      <c r="X36" s="107" t="s">
        <v>299</v>
      </c>
      <c r="Y36" s="107" t="s">
        <v>299</v>
      </c>
      <c r="AA36" s="107" t="s">
        <v>299</v>
      </c>
      <c r="AE36" s="107" t="s">
        <v>46</v>
      </c>
      <c r="AF36" s="107" t="s">
        <v>44</v>
      </c>
      <c r="AG36" s="107" t="s">
        <v>46</v>
      </c>
      <c r="AH36" s="114" t="s">
        <v>43</v>
      </c>
    </row>
    <row r="37" spans="2:34" x14ac:dyDescent="0.25">
      <c r="B37" s="107" t="s">
        <v>1</v>
      </c>
      <c r="I37" s="110">
        <v>6</v>
      </c>
      <c r="X37" s="107" t="s">
        <v>300</v>
      </c>
      <c r="Y37" s="107" t="s">
        <v>300</v>
      </c>
      <c r="AA37" s="107" t="s">
        <v>300</v>
      </c>
      <c r="AE37" s="107" t="s">
        <v>47</v>
      </c>
      <c r="AF37" s="107" t="s">
        <v>45</v>
      </c>
      <c r="AG37" s="107" t="s">
        <v>47</v>
      </c>
      <c r="AH37" s="114" t="s">
        <v>44</v>
      </c>
    </row>
    <row r="38" spans="2:34" x14ac:dyDescent="0.25">
      <c r="B38" s="107" t="s">
        <v>2</v>
      </c>
      <c r="I38" s="110">
        <v>6</v>
      </c>
      <c r="X38" s="107" t="s">
        <v>301</v>
      </c>
      <c r="Y38" s="107" t="s">
        <v>301</v>
      </c>
      <c r="AA38" s="107" t="s">
        <v>301</v>
      </c>
      <c r="AE38" s="107" t="s">
        <v>48</v>
      </c>
      <c r="AF38" s="107" t="s">
        <v>46</v>
      </c>
      <c r="AG38" s="107" t="s">
        <v>48</v>
      </c>
      <c r="AH38" s="107" t="s">
        <v>46</v>
      </c>
    </row>
    <row r="39" spans="2:34" x14ac:dyDescent="0.25">
      <c r="B39" s="107" t="s">
        <v>3</v>
      </c>
      <c r="I39" s="110">
        <v>6</v>
      </c>
      <c r="X39" s="107" t="s">
        <v>302</v>
      </c>
      <c r="Y39" s="107" t="s">
        <v>302</v>
      </c>
      <c r="AA39" s="107" t="s">
        <v>302</v>
      </c>
      <c r="AE39" s="114" t="s">
        <v>87</v>
      </c>
      <c r="AF39" s="107" t="s">
        <v>47</v>
      </c>
      <c r="AG39" s="107" t="s">
        <v>87</v>
      </c>
      <c r="AH39" s="107" t="s">
        <v>47</v>
      </c>
    </row>
    <row r="40" spans="2:34" x14ac:dyDescent="0.25">
      <c r="B40" s="107" t="s">
        <v>4</v>
      </c>
      <c r="I40" s="110">
        <v>6</v>
      </c>
      <c r="X40" s="107" t="s">
        <v>303</v>
      </c>
      <c r="Y40" s="107" t="s">
        <v>303</v>
      </c>
      <c r="AA40" s="107" t="s">
        <v>303</v>
      </c>
      <c r="AE40" s="107" t="s">
        <v>36</v>
      </c>
      <c r="AF40" s="107" t="s">
        <v>48</v>
      </c>
      <c r="AG40" s="107" t="s">
        <v>36</v>
      </c>
      <c r="AH40" s="107" t="s">
        <v>48</v>
      </c>
    </row>
    <row r="41" spans="2:34" x14ac:dyDescent="0.25">
      <c r="B41" s="107" t="s">
        <v>5</v>
      </c>
      <c r="I41" s="110">
        <v>6</v>
      </c>
      <c r="X41" s="107" t="s">
        <v>304</v>
      </c>
      <c r="Y41" s="107" t="s">
        <v>304</v>
      </c>
      <c r="AA41" s="107" t="s">
        <v>304</v>
      </c>
      <c r="AE41" s="107" t="s">
        <v>37</v>
      </c>
      <c r="AF41" s="114" t="s">
        <v>87</v>
      </c>
      <c r="AG41" s="107" t="s">
        <v>37</v>
      </c>
      <c r="AH41" s="107" t="s">
        <v>87</v>
      </c>
    </row>
    <row r="42" spans="2:34" x14ac:dyDescent="0.25">
      <c r="B42" s="107" t="s">
        <v>6</v>
      </c>
      <c r="I42" s="110">
        <v>6</v>
      </c>
      <c r="X42" s="107" t="s">
        <v>305</v>
      </c>
      <c r="Y42" s="107" t="s">
        <v>305</v>
      </c>
      <c r="AA42" s="107" t="s">
        <v>305</v>
      </c>
      <c r="AE42" s="107" t="s">
        <v>38</v>
      </c>
      <c r="AF42" s="107" t="s">
        <v>36</v>
      </c>
      <c r="AG42" s="107" t="s">
        <v>38</v>
      </c>
      <c r="AH42" s="107" t="s">
        <v>36</v>
      </c>
    </row>
    <row r="43" spans="2:34" x14ac:dyDescent="0.25">
      <c r="B43" s="107" t="s">
        <v>7</v>
      </c>
      <c r="I43" s="110">
        <v>6</v>
      </c>
      <c r="X43" s="107" t="s">
        <v>306</v>
      </c>
      <c r="Y43" s="107" t="s">
        <v>306</v>
      </c>
      <c r="AA43" s="107" t="s">
        <v>306</v>
      </c>
      <c r="AE43" s="107" t="s">
        <v>39</v>
      </c>
      <c r="AF43" s="107" t="s">
        <v>37</v>
      </c>
      <c r="AG43" s="107" t="s">
        <v>39</v>
      </c>
      <c r="AH43" s="107" t="s">
        <v>37</v>
      </c>
    </row>
    <row r="44" spans="2:34" x14ac:dyDescent="0.25">
      <c r="I44" s="116"/>
      <c r="X44" s="107" t="s">
        <v>307</v>
      </c>
      <c r="Y44" s="107" t="s">
        <v>307</v>
      </c>
      <c r="AA44" s="107" t="s">
        <v>307</v>
      </c>
      <c r="AF44" s="107" t="s">
        <v>38</v>
      </c>
      <c r="AH44" s="107" t="s">
        <v>38</v>
      </c>
    </row>
    <row r="45" spans="2:34" x14ac:dyDescent="0.25">
      <c r="I45" s="116"/>
      <c r="AF45" s="107" t="s">
        <v>39</v>
      </c>
      <c r="AH45" s="107" t="s">
        <v>39</v>
      </c>
    </row>
    <row r="46" spans="2:34" x14ac:dyDescent="0.25">
      <c r="B46" s="107" t="s">
        <v>8</v>
      </c>
      <c r="I46" s="110">
        <v>1.6</v>
      </c>
      <c r="X46" s="114" t="s">
        <v>308</v>
      </c>
    </row>
    <row r="47" spans="2:34" x14ac:dyDescent="0.25">
      <c r="B47" s="107" t="s">
        <v>9</v>
      </c>
      <c r="I47" s="110">
        <v>1.6</v>
      </c>
      <c r="X47" s="117"/>
    </row>
    <row r="48" spans="2:34" x14ac:dyDescent="0.25">
      <c r="B48" s="107" t="s">
        <v>10</v>
      </c>
      <c r="I48" s="110">
        <v>0</v>
      </c>
    </row>
    <row r="49" spans="2:25" x14ac:dyDescent="0.25">
      <c r="B49" s="107" t="s">
        <v>11</v>
      </c>
      <c r="I49" s="110">
        <v>1.6</v>
      </c>
    </row>
    <row r="50" spans="2:25" x14ac:dyDescent="0.25">
      <c r="B50" s="107" t="s">
        <v>12</v>
      </c>
      <c r="I50" s="110">
        <v>1.6</v>
      </c>
      <c r="X50" s="107" t="s">
        <v>427</v>
      </c>
      <c r="Y50" s="107" t="s">
        <v>427</v>
      </c>
    </row>
    <row r="51" spans="2:25" x14ac:dyDescent="0.25">
      <c r="B51" s="107" t="s">
        <v>13</v>
      </c>
      <c r="I51" s="110" t="s">
        <v>361</v>
      </c>
      <c r="X51" s="107" t="s">
        <v>366</v>
      </c>
      <c r="Y51" s="107" t="s">
        <v>366</v>
      </c>
    </row>
    <row r="52" spans="2:25" x14ac:dyDescent="0.25">
      <c r="X52" s="107" t="s">
        <v>367</v>
      </c>
      <c r="Y52" s="107" t="s">
        <v>367</v>
      </c>
    </row>
    <row r="53" spans="2:25" x14ac:dyDescent="0.25">
      <c r="B53" s="108" t="s">
        <v>338</v>
      </c>
      <c r="I53" s="110">
        <v>2.5</v>
      </c>
      <c r="X53" s="107" t="s">
        <v>368</v>
      </c>
      <c r="Y53" s="107" t="s">
        <v>368</v>
      </c>
    </row>
    <row r="54" spans="2:25" x14ac:dyDescent="0.25">
      <c r="X54" s="107" t="s">
        <v>413</v>
      </c>
      <c r="Y54" s="107" t="s">
        <v>413</v>
      </c>
    </row>
    <row r="55" spans="2:25" x14ac:dyDescent="0.25">
      <c r="X55" s="107" t="s">
        <v>369</v>
      </c>
      <c r="Y55" s="107" t="s">
        <v>369</v>
      </c>
    </row>
    <row r="56" spans="2:25" x14ac:dyDescent="0.25">
      <c r="X56" s="107" t="s">
        <v>370</v>
      </c>
      <c r="Y56" s="107" t="s">
        <v>370</v>
      </c>
    </row>
    <row r="57" spans="2:25" x14ac:dyDescent="0.25">
      <c r="X57" s="107" t="s">
        <v>371</v>
      </c>
      <c r="Y57" s="107" t="s">
        <v>371</v>
      </c>
    </row>
    <row r="58" spans="2:25" x14ac:dyDescent="0.25">
      <c r="D58" s="107" t="s">
        <v>103</v>
      </c>
      <c r="X58" s="107" t="s">
        <v>372</v>
      </c>
      <c r="Y58" s="107" t="s">
        <v>372</v>
      </c>
    </row>
    <row r="59" spans="2:25" x14ac:dyDescent="0.25">
      <c r="B59" s="107" t="s">
        <v>56</v>
      </c>
      <c r="D59" s="107" t="s">
        <v>54</v>
      </c>
      <c r="G59" s="107" t="s">
        <v>14</v>
      </c>
      <c r="H59" s="118">
        <v>4.5</v>
      </c>
      <c r="X59" s="107" t="s">
        <v>421</v>
      </c>
      <c r="Y59" s="107" t="s">
        <v>421</v>
      </c>
    </row>
    <row r="60" spans="2:25" x14ac:dyDescent="0.25">
      <c r="D60" s="107" t="s">
        <v>57</v>
      </c>
      <c r="G60" s="107" t="s">
        <v>14</v>
      </c>
      <c r="H60" s="118">
        <v>4.2</v>
      </c>
      <c r="X60" s="107" t="s">
        <v>422</v>
      </c>
      <c r="Y60" s="107" t="s">
        <v>422</v>
      </c>
    </row>
    <row r="61" spans="2:25" x14ac:dyDescent="0.25">
      <c r="D61" s="107" t="s">
        <v>53</v>
      </c>
      <c r="G61" s="107" t="s">
        <v>14</v>
      </c>
      <c r="H61" s="118">
        <v>2.5</v>
      </c>
      <c r="X61" s="107" t="s">
        <v>373</v>
      </c>
      <c r="Y61" s="107" t="s">
        <v>373</v>
      </c>
    </row>
    <row r="62" spans="2:25" x14ac:dyDescent="0.25">
      <c r="D62" s="107" t="s">
        <v>58</v>
      </c>
      <c r="G62" s="107" t="s">
        <v>14</v>
      </c>
      <c r="H62" s="118">
        <v>2.5</v>
      </c>
      <c r="X62" s="107" t="s">
        <v>374</v>
      </c>
      <c r="Y62" s="107" t="s">
        <v>374</v>
      </c>
    </row>
    <row r="63" spans="2:25" x14ac:dyDescent="0.25">
      <c r="D63" s="107" t="s">
        <v>59</v>
      </c>
      <c r="G63" s="107" t="s">
        <v>14</v>
      </c>
      <c r="H63" s="118">
        <v>2.5</v>
      </c>
      <c r="X63" s="107" t="s">
        <v>423</v>
      </c>
      <c r="Y63" s="107" t="s">
        <v>423</v>
      </c>
    </row>
    <row r="64" spans="2:25" x14ac:dyDescent="0.25">
      <c r="D64" s="107" t="s">
        <v>60</v>
      </c>
      <c r="G64" s="107" t="s">
        <v>14</v>
      </c>
      <c r="H64" s="118">
        <v>2.5</v>
      </c>
      <c r="X64" s="107" t="s">
        <v>375</v>
      </c>
      <c r="Y64" s="107" t="s">
        <v>375</v>
      </c>
    </row>
    <row r="65" spans="2:28" x14ac:dyDescent="0.25">
      <c r="B65" s="107" t="s">
        <v>52</v>
      </c>
      <c r="D65" s="107" t="s">
        <v>61</v>
      </c>
      <c r="G65" s="107" t="s">
        <v>14</v>
      </c>
      <c r="H65" s="118">
        <v>2.5</v>
      </c>
      <c r="X65" s="107" t="s">
        <v>376</v>
      </c>
      <c r="Y65" s="107" t="s">
        <v>376</v>
      </c>
    </row>
    <row r="66" spans="2:28" x14ac:dyDescent="0.25">
      <c r="D66" s="107" t="s">
        <v>62</v>
      </c>
      <c r="G66" s="107" t="s">
        <v>14</v>
      </c>
      <c r="H66" s="118">
        <v>2.5</v>
      </c>
      <c r="X66" s="107" t="s">
        <v>377</v>
      </c>
      <c r="Y66" s="107" t="s">
        <v>377</v>
      </c>
    </row>
    <row r="67" spans="2:28" x14ac:dyDescent="0.25">
      <c r="D67" s="107" t="s">
        <v>55</v>
      </c>
      <c r="G67" s="107" t="s">
        <v>14</v>
      </c>
      <c r="H67" s="118">
        <v>2.5</v>
      </c>
      <c r="X67" s="107" t="s">
        <v>378</v>
      </c>
      <c r="Y67" s="107" t="s">
        <v>378</v>
      </c>
    </row>
    <row r="68" spans="2:28" x14ac:dyDescent="0.25">
      <c r="D68" s="107" t="s">
        <v>63</v>
      </c>
      <c r="G68" s="107" t="s">
        <v>14</v>
      </c>
      <c r="H68" s="118">
        <v>2.5</v>
      </c>
      <c r="X68" s="107" t="s">
        <v>379</v>
      </c>
      <c r="Y68" s="107" t="s">
        <v>379</v>
      </c>
    </row>
    <row r="69" spans="2:28" x14ac:dyDescent="0.25">
      <c r="D69" s="107" t="s">
        <v>64</v>
      </c>
      <c r="G69" s="107" t="s">
        <v>14</v>
      </c>
      <c r="H69" s="118">
        <v>2.5</v>
      </c>
      <c r="X69" s="107" t="s">
        <v>380</v>
      </c>
      <c r="Y69" s="107" t="s">
        <v>380</v>
      </c>
    </row>
    <row r="70" spans="2:28" x14ac:dyDescent="0.25">
      <c r="X70" s="107" t="s">
        <v>381</v>
      </c>
      <c r="Y70" s="107" t="s">
        <v>381</v>
      </c>
    </row>
    <row r="71" spans="2:28" x14ac:dyDescent="0.25">
      <c r="X71" s="107" t="s">
        <v>22</v>
      </c>
      <c r="Y71" s="107" t="s">
        <v>22</v>
      </c>
    </row>
    <row r="72" spans="2:28" x14ac:dyDescent="0.25">
      <c r="C72" s="107" t="s">
        <v>339</v>
      </c>
      <c r="L72" s="107" t="s">
        <v>329</v>
      </c>
      <c r="N72" s="118">
        <v>2</v>
      </c>
      <c r="X72" s="107" t="s">
        <v>411</v>
      </c>
      <c r="Y72" s="107" t="s">
        <v>411</v>
      </c>
    </row>
    <row r="73" spans="2:28" x14ac:dyDescent="0.25">
      <c r="C73" s="107" t="s">
        <v>15</v>
      </c>
      <c r="X73" s="107" t="s">
        <v>424</v>
      </c>
      <c r="Y73" s="107" t="s">
        <v>424</v>
      </c>
    </row>
    <row r="74" spans="2:28" x14ac:dyDescent="0.25">
      <c r="C74" s="107" t="s">
        <v>79</v>
      </c>
      <c r="X74" s="107" t="s">
        <v>425</v>
      </c>
      <c r="Y74" s="107" t="s">
        <v>425</v>
      </c>
    </row>
    <row r="75" spans="2:28" x14ac:dyDescent="0.25">
      <c r="C75" s="107" t="s">
        <v>16</v>
      </c>
      <c r="X75" s="107" t="s">
        <v>382</v>
      </c>
      <c r="Y75" s="107" t="s">
        <v>382</v>
      </c>
    </row>
    <row r="76" spans="2:28" x14ac:dyDescent="0.25">
      <c r="C76" s="107" t="s">
        <v>17</v>
      </c>
      <c r="L76" s="107" t="s">
        <v>340</v>
      </c>
      <c r="N76" s="118">
        <v>1.5</v>
      </c>
      <c r="X76" s="107" t="s">
        <v>383</v>
      </c>
      <c r="Y76" s="107" t="s">
        <v>383</v>
      </c>
    </row>
    <row r="77" spans="2:28" x14ac:dyDescent="0.25">
      <c r="C77" s="107" t="s">
        <v>18</v>
      </c>
      <c r="L77" s="107" t="s">
        <v>341</v>
      </c>
      <c r="N77" s="118">
        <v>2</v>
      </c>
      <c r="X77" s="107" t="s">
        <v>384</v>
      </c>
      <c r="Y77" s="107" t="s">
        <v>384</v>
      </c>
    </row>
    <row r="78" spans="2:28" x14ac:dyDescent="0.25">
      <c r="C78" s="107" t="s">
        <v>19</v>
      </c>
      <c r="L78" s="107" t="s">
        <v>342</v>
      </c>
      <c r="N78" s="118">
        <v>3</v>
      </c>
      <c r="X78" s="107" t="s">
        <v>385</v>
      </c>
      <c r="Y78" s="107" t="s">
        <v>385</v>
      </c>
    </row>
    <row r="79" spans="2:28" x14ac:dyDescent="0.25">
      <c r="C79" s="107" t="s">
        <v>20</v>
      </c>
      <c r="L79" s="108" t="s">
        <v>343</v>
      </c>
      <c r="N79" s="118">
        <v>8</v>
      </c>
      <c r="X79" s="107" t="s">
        <v>386</v>
      </c>
      <c r="Y79" s="107" t="s">
        <v>386</v>
      </c>
    </row>
    <row r="80" spans="2:28" x14ac:dyDescent="0.25">
      <c r="C80" s="107" t="s">
        <v>21</v>
      </c>
      <c r="L80" s="108" t="s">
        <v>344</v>
      </c>
      <c r="M80" s="108"/>
      <c r="N80" s="118">
        <v>10</v>
      </c>
      <c r="P80" s="108"/>
      <c r="Q80" s="108"/>
      <c r="R80" s="108"/>
      <c r="S80" s="108"/>
      <c r="T80" s="108"/>
      <c r="V80" s="108"/>
      <c r="W80" s="108"/>
      <c r="X80" s="107" t="s">
        <v>424</v>
      </c>
      <c r="Y80" s="108" t="s">
        <v>424</v>
      </c>
      <c r="Z80" s="108"/>
      <c r="AA80" s="108"/>
      <c r="AB80" s="108"/>
    </row>
    <row r="81" spans="1:25" x14ac:dyDescent="0.25">
      <c r="C81" s="107" t="s">
        <v>22</v>
      </c>
      <c r="L81" s="108" t="s">
        <v>345</v>
      </c>
      <c r="M81" s="108"/>
      <c r="N81" s="118">
        <v>10</v>
      </c>
      <c r="P81" s="108"/>
      <c r="Q81" s="108"/>
      <c r="X81" s="107" t="s">
        <v>426</v>
      </c>
      <c r="Y81" s="107" t="s">
        <v>426</v>
      </c>
    </row>
    <row r="82" spans="1:25" x14ac:dyDescent="0.25">
      <c r="C82" s="107" t="s">
        <v>23</v>
      </c>
      <c r="L82" s="108" t="s">
        <v>346</v>
      </c>
      <c r="M82" s="108"/>
      <c r="N82" s="118">
        <v>10</v>
      </c>
      <c r="X82" s="107" t="s">
        <v>387</v>
      </c>
      <c r="Y82" s="107" t="s">
        <v>387</v>
      </c>
    </row>
    <row r="83" spans="1:25" x14ac:dyDescent="0.25">
      <c r="C83" s="107" t="s">
        <v>24</v>
      </c>
      <c r="L83" s="108" t="s">
        <v>347</v>
      </c>
      <c r="M83" s="108"/>
      <c r="N83" s="118">
        <v>10</v>
      </c>
      <c r="X83" s="107" t="s">
        <v>388</v>
      </c>
      <c r="Y83" s="107" t="s">
        <v>388</v>
      </c>
    </row>
    <row r="84" spans="1:25" x14ac:dyDescent="0.25">
      <c r="C84" s="107" t="s">
        <v>25</v>
      </c>
      <c r="L84" s="108" t="s">
        <v>348</v>
      </c>
      <c r="M84" s="108"/>
      <c r="N84" s="118">
        <v>10</v>
      </c>
      <c r="X84" s="107" t="s">
        <v>389</v>
      </c>
      <c r="Y84" s="107" t="s">
        <v>389</v>
      </c>
    </row>
    <row r="85" spans="1:25" x14ac:dyDescent="0.25">
      <c r="C85" s="107" t="s">
        <v>26</v>
      </c>
      <c r="X85" s="107" t="s">
        <v>390</v>
      </c>
      <c r="Y85" s="107" t="s">
        <v>390</v>
      </c>
    </row>
    <row r="86" spans="1:25" x14ac:dyDescent="0.25">
      <c r="X86" s="107" t="s">
        <v>391</v>
      </c>
      <c r="Y86" s="107" t="s">
        <v>391</v>
      </c>
    </row>
    <row r="87" spans="1:25" x14ac:dyDescent="0.25">
      <c r="B87" s="107" t="s">
        <v>103</v>
      </c>
      <c r="X87" s="107" t="s">
        <v>392</v>
      </c>
      <c r="Y87" s="107" t="s">
        <v>392</v>
      </c>
    </row>
    <row r="88" spans="1:25" x14ac:dyDescent="0.25">
      <c r="B88" s="107" t="s">
        <v>107</v>
      </c>
      <c r="X88" s="107" t="s">
        <v>393</v>
      </c>
      <c r="Y88" s="107" t="s">
        <v>393</v>
      </c>
    </row>
    <row r="89" spans="1:25" x14ac:dyDescent="0.25">
      <c r="B89" s="107" t="s">
        <v>108</v>
      </c>
      <c r="X89" s="107" t="s">
        <v>394</v>
      </c>
      <c r="Y89" s="107" t="s">
        <v>394</v>
      </c>
    </row>
    <row r="90" spans="1:25" x14ac:dyDescent="0.25">
      <c r="L90" s="108"/>
      <c r="M90" s="108"/>
      <c r="N90" s="108"/>
      <c r="X90" s="107" t="s">
        <v>395</v>
      </c>
      <c r="Y90" s="107" t="s">
        <v>395</v>
      </c>
    </row>
    <row r="91" spans="1:25" ht="15.75" x14ac:dyDescent="0.25">
      <c r="A91" s="119" t="s">
        <v>175</v>
      </c>
      <c r="B91" s="119"/>
      <c r="C91" s="119"/>
      <c r="D91" s="119"/>
      <c r="E91" s="119"/>
      <c r="F91" s="119"/>
      <c r="G91" s="119"/>
      <c r="H91" s="120"/>
      <c r="I91" s="120"/>
      <c r="L91" s="108"/>
      <c r="M91" s="108"/>
      <c r="N91" s="108"/>
      <c r="P91" s="107" t="s">
        <v>159</v>
      </c>
      <c r="X91" s="107" t="s">
        <v>396</v>
      </c>
      <c r="Y91" s="107" t="s">
        <v>396</v>
      </c>
    </row>
    <row r="92" spans="1:25" ht="15.75" x14ac:dyDescent="0.25">
      <c r="A92" s="119" t="s">
        <v>176</v>
      </c>
      <c r="B92" s="119"/>
      <c r="C92" s="119"/>
      <c r="D92" s="119"/>
      <c r="E92" s="119"/>
      <c r="F92" s="119"/>
      <c r="G92" s="119"/>
      <c r="H92" s="120"/>
      <c r="I92" s="120"/>
      <c r="P92" s="107" t="s">
        <v>160</v>
      </c>
      <c r="X92" s="107" t="s">
        <v>397</v>
      </c>
      <c r="Y92" s="107" t="s">
        <v>397</v>
      </c>
    </row>
    <row r="93" spans="1:25" ht="15.75" x14ac:dyDescent="0.25">
      <c r="A93" s="119" t="s">
        <v>177</v>
      </c>
      <c r="C93" s="119"/>
      <c r="D93" s="119"/>
      <c r="E93" s="119"/>
      <c r="F93" s="119"/>
      <c r="G93" s="119"/>
      <c r="H93" s="120"/>
      <c r="I93" s="120"/>
      <c r="L93" s="108"/>
      <c r="M93" s="108"/>
      <c r="N93" s="108"/>
      <c r="O93" s="121">
        <v>16</v>
      </c>
      <c r="P93" s="121">
        <v>16</v>
      </c>
      <c r="Q93" s="107" t="s">
        <v>161</v>
      </c>
    </row>
    <row r="94" spans="1:25" ht="15.75" x14ac:dyDescent="0.25">
      <c r="A94" s="119" t="s">
        <v>162</v>
      </c>
      <c r="B94" s="119"/>
      <c r="C94" s="119"/>
      <c r="D94" s="119"/>
      <c r="E94" s="119"/>
      <c r="F94" s="119"/>
      <c r="G94" s="119"/>
      <c r="H94" s="120"/>
      <c r="I94" s="120"/>
      <c r="L94" s="108"/>
      <c r="M94" s="108"/>
      <c r="N94" s="108"/>
      <c r="P94" s="121">
        <v>28</v>
      </c>
    </row>
    <row r="95" spans="1:25" ht="15.75" x14ac:dyDescent="0.25">
      <c r="A95" s="119" t="s">
        <v>163</v>
      </c>
      <c r="B95" s="119"/>
      <c r="C95" s="119"/>
      <c r="D95" s="119"/>
      <c r="E95" s="119"/>
      <c r="F95" s="119"/>
      <c r="G95" s="119"/>
      <c r="L95" s="108"/>
      <c r="M95" s="108"/>
      <c r="N95" s="108"/>
      <c r="P95" s="122"/>
    </row>
    <row r="96" spans="1:25" ht="15.75" x14ac:dyDescent="0.25">
      <c r="A96" s="119"/>
      <c r="B96" s="119"/>
      <c r="C96" s="119"/>
      <c r="D96" s="119"/>
      <c r="E96" s="119"/>
      <c r="F96" s="119"/>
      <c r="G96" s="119"/>
      <c r="L96" s="108"/>
      <c r="M96" s="108"/>
      <c r="N96" s="108"/>
      <c r="P96" s="122"/>
    </row>
    <row r="97" spans="1:16" ht="15.75" x14ac:dyDescent="0.25">
      <c r="A97" s="119" t="s">
        <v>349</v>
      </c>
      <c r="C97" s="119"/>
      <c r="D97" s="119"/>
      <c r="E97" s="119"/>
      <c r="F97" s="119"/>
      <c r="G97" s="119"/>
      <c r="L97" s="108"/>
      <c r="M97" s="108"/>
      <c r="N97" s="108"/>
      <c r="P97" s="121" t="s">
        <v>270</v>
      </c>
    </row>
    <row r="98" spans="1:16" ht="15.75" x14ac:dyDescent="0.25">
      <c r="A98" s="119" t="s">
        <v>350</v>
      </c>
      <c r="B98" s="119"/>
      <c r="C98" s="119"/>
      <c r="D98" s="119"/>
      <c r="E98" s="119"/>
      <c r="F98" s="119"/>
      <c r="G98" s="119"/>
      <c r="L98" s="108"/>
      <c r="M98" s="108"/>
      <c r="N98" s="108"/>
    </row>
    <row r="99" spans="1:16" ht="15.75" x14ac:dyDescent="0.25">
      <c r="A99" s="119"/>
      <c r="B99" s="119"/>
      <c r="C99" s="119"/>
      <c r="D99" s="119"/>
      <c r="E99" s="119"/>
      <c r="F99" s="119"/>
      <c r="G99" s="119"/>
      <c r="L99" s="108"/>
      <c r="M99" s="108"/>
      <c r="N99" s="108"/>
    </row>
    <row r="100" spans="1:16" ht="15.75" x14ac:dyDescent="0.25">
      <c r="B100" s="119"/>
      <c r="C100" s="119"/>
      <c r="D100" s="119"/>
      <c r="E100" s="119"/>
      <c r="F100" s="119"/>
      <c r="G100" s="119"/>
      <c r="L100" s="108"/>
      <c r="M100" s="108"/>
      <c r="N100" s="108"/>
    </row>
    <row r="101" spans="1:16" ht="15.75" x14ac:dyDescent="0.25">
      <c r="A101" s="119" t="s">
        <v>164</v>
      </c>
    </row>
    <row r="103" spans="1:16" ht="15.75" x14ac:dyDescent="0.25">
      <c r="A103" s="123" t="s">
        <v>165</v>
      </c>
      <c r="B103" s="119"/>
    </row>
    <row r="104" spans="1:16" ht="15.75" x14ac:dyDescent="0.25">
      <c r="A104" s="119"/>
      <c r="B104" s="119"/>
    </row>
    <row r="105" spans="1:16" ht="15.75" x14ac:dyDescent="0.25">
      <c r="A105" s="119" t="s">
        <v>166</v>
      </c>
      <c r="B105" s="119"/>
    </row>
    <row r="106" spans="1:16" ht="15.75" x14ac:dyDescent="0.25">
      <c r="A106" s="119" t="s">
        <v>167</v>
      </c>
      <c r="B106" s="119"/>
    </row>
    <row r="107" spans="1:16" ht="15.75" x14ac:dyDescent="0.25">
      <c r="A107" s="119" t="s">
        <v>168</v>
      </c>
      <c r="B107" s="119"/>
    </row>
    <row r="108" spans="1:16" ht="15.75" x14ac:dyDescent="0.25">
      <c r="A108" s="119"/>
      <c r="B108" s="119"/>
    </row>
    <row r="109" spans="1:16" ht="15.75" x14ac:dyDescent="0.25">
      <c r="A109" s="119"/>
      <c r="B109" s="119"/>
    </row>
    <row r="110" spans="1:16" ht="15.75" x14ac:dyDescent="0.25">
      <c r="A110" s="119"/>
      <c r="B110" s="119"/>
    </row>
    <row r="111" spans="1:16" ht="15.75" x14ac:dyDescent="0.25">
      <c r="A111" s="119"/>
      <c r="B111" s="119"/>
    </row>
    <row r="112" spans="1:16" ht="15.75" x14ac:dyDescent="0.25">
      <c r="A112" s="123" t="s">
        <v>169</v>
      </c>
      <c r="B112" s="119"/>
    </row>
    <row r="113" spans="1:2" ht="15.75" x14ac:dyDescent="0.25">
      <c r="A113" s="119"/>
      <c r="B113" s="119"/>
    </row>
    <row r="114" spans="1:2" ht="15.75" x14ac:dyDescent="0.25">
      <c r="A114" s="119" t="s">
        <v>170</v>
      </c>
      <c r="B114" s="119"/>
    </row>
    <row r="115" spans="1:2" ht="15.75" x14ac:dyDescent="0.25">
      <c r="A115" s="119" t="s">
        <v>171</v>
      </c>
      <c r="B115" s="119"/>
    </row>
    <row r="116" spans="1:2" ht="15.75" x14ac:dyDescent="0.25">
      <c r="A116" s="119"/>
      <c r="B116" s="119"/>
    </row>
    <row r="117" spans="1:2" ht="15.75" x14ac:dyDescent="0.25">
      <c r="A117" s="123" t="s">
        <v>172</v>
      </c>
      <c r="B117" s="119"/>
    </row>
    <row r="119" spans="1:2" x14ac:dyDescent="0.25">
      <c r="A119" s="107" t="s">
        <v>173</v>
      </c>
    </row>
    <row r="120" spans="1:2" x14ac:dyDescent="0.25">
      <c r="A120" s="107" t="s">
        <v>174</v>
      </c>
    </row>
    <row r="222" spans="1:6" x14ac:dyDescent="0.25">
      <c r="A222" s="107" t="s">
        <v>428</v>
      </c>
      <c r="F222" s="107">
        <v>750</v>
      </c>
    </row>
    <row r="381" spans="1:1" x14ac:dyDescent="0.25">
      <c r="A381" s="107" t="s">
        <v>325</v>
      </c>
    </row>
    <row r="382" spans="1:1" x14ac:dyDescent="0.25">
      <c r="A382" s="107" t="s">
        <v>399</v>
      </c>
    </row>
    <row r="383" spans="1:1" x14ac:dyDescent="0.25">
      <c r="A383" s="107" t="s">
        <v>398</v>
      </c>
    </row>
  </sheetData>
  <sheetProtection algorithmName="SHA-512" hashValue="IZ++7ZA3IveYShGjISXNoawsgURi2wUiN04DkWVjfrzhTs9kjfy/sJNb9YS32jbxwRY1yjSjtnNXAvwThLUNYQ==" saltValue="uo4sUOVeGPho2UYYhcKEXg==" spinCount="100000" sheet="1" objects="1" scenarios="1" selectLockedCells="1"/>
  <dataConsolidate>
    <dataRefs count="2">
      <dataRef ref="AB14:AB26" sheet="matrixen"/>
      <dataRef ref="A57:E76" sheet="matrixen"/>
    </dataRefs>
  </dataConsolid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M64"/>
  <sheetViews>
    <sheetView showGridLines="0" showRowColHeaders="0" zoomScaleNormal="100" workbookViewId="0">
      <selection activeCell="T36" sqref="T36"/>
    </sheetView>
  </sheetViews>
  <sheetFormatPr defaultRowHeight="15" x14ac:dyDescent="0.25"/>
  <cols>
    <col min="1" max="1" width="4.5703125" customWidth="1"/>
    <col min="6" max="6" width="2.140625" customWidth="1"/>
    <col min="9" max="9" width="8" customWidth="1"/>
    <col min="11" max="11" width="10.140625" customWidth="1"/>
    <col min="12" max="12" width="6.42578125" customWidth="1"/>
  </cols>
  <sheetData>
    <row r="1" spans="2:4" x14ac:dyDescent="0.25">
      <c r="B1" t="s">
        <v>116</v>
      </c>
      <c r="D1" s="2"/>
    </row>
    <row r="2" spans="2:4" x14ac:dyDescent="0.25">
      <c r="B2" t="s">
        <v>117</v>
      </c>
      <c r="D2" s="2"/>
    </row>
    <row r="3" spans="2:4" x14ac:dyDescent="0.25">
      <c r="B3" t="s">
        <v>118</v>
      </c>
      <c r="D3" s="2"/>
    </row>
    <row r="4" spans="2:4" x14ac:dyDescent="0.25">
      <c r="B4" t="s">
        <v>119</v>
      </c>
      <c r="D4" s="2"/>
    </row>
    <row r="5" spans="2:4" x14ac:dyDescent="0.25">
      <c r="B5" t="s">
        <v>120</v>
      </c>
      <c r="D5" s="2"/>
    </row>
    <row r="6" spans="2:4" x14ac:dyDescent="0.25">
      <c r="B6" t="s">
        <v>121</v>
      </c>
      <c r="D6" s="2"/>
    </row>
    <row r="7" spans="2:4" x14ac:dyDescent="0.25">
      <c r="B7" t="s">
        <v>122</v>
      </c>
      <c r="D7" s="2"/>
    </row>
    <row r="8" spans="2:4" x14ac:dyDescent="0.25">
      <c r="B8" t="s">
        <v>123</v>
      </c>
      <c r="D8" s="2"/>
    </row>
    <row r="9" spans="2:4" x14ac:dyDescent="0.25">
      <c r="B9" t="s">
        <v>124</v>
      </c>
      <c r="D9" s="2"/>
    </row>
    <row r="10" spans="2:4" x14ac:dyDescent="0.25">
      <c r="B10" t="s">
        <v>125</v>
      </c>
      <c r="D10" s="2"/>
    </row>
    <row r="11" spans="2:4" x14ac:dyDescent="0.25">
      <c r="B11" t="s">
        <v>126</v>
      </c>
      <c r="D11" s="2"/>
    </row>
    <row r="12" spans="2:4" x14ac:dyDescent="0.25">
      <c r="B12" t="s">
        <v>127</v>
      </c>
      <c r="D12" s="2"/>
    </row>
    <row r="13" spans="2:4" x14ac:dyDescent="0.25">
      <c r="B13" t="s">
        <v>128</v>
      </c>
      <c r="D13" s="2"/>
    </row>
    <row r="14" spans="2:4" x14ac:dyDescent="0.25">
      <c r="B14" t="s">
        <v>129</v>
      </c>
      <c r="D14" s="2"/>
    </row>
    <row r="15" spans="2:4" x14ac:dyDescent="0.25">
      <c r="D15" s="2"/>
    </row>
    <row r="16" spans="2:4" x14ac:dyDescent="0.25">
      <c r="B16" t="s">
        <v>130</v>
      </c>
      <c r="D16" s="2"/>
    </row>
    <row r="17" spans="2:4" x14ac:dyDescent="0.25">
      <c r="B17" t="s">
        <v>131</v>
      </c>
      <c r="D17" s="2"/>
    </row>
    <row r="18" spans="2:4" x14ac:dyDescent="0.25">
      <c r="B18" t="s">
        <v>132</v>
      </c>
      <c r="D18" s="2"/>
    </row>
    <row r="19" spans="2:4" x14ac:dyDescent="0.25">
      <c r="B19" t="s">
        <v>133</v>
      </c>
      <c r="D19" s="2"/>
    </row>
    <row r="20" spans="2:4" x14ac:dyDescent="0.25">
      <c r="B20" t="s">
        <v>134</v>
      </c>
      <c r="D20" s="2"/>
    </row>
    <row r="21" spans="2:4" x14ac:dyDescent="0.25">
      <c r="B21" t="s">
        <v>135</v>
      </c>
      <c r="D21" s="2"/>
    </row>
    <row r="22" spans="2:4" x14ac:dyDescent="0.25">
      <c r="D22" s="2"/>
    </row>
    <row r="23" spans="2:4" x14ac:dyDescent="0.25">
      <c r="B23" t="s">
        <v>136</v>
      </c>
      <c r="D23" s="2"/>
    </row>
    <row r="24" spans="2:4" x14ac:dyDescent="0.25">
      <c r="B24" t="s">
        <v>137</v>
      </c>
      <c r="D24" s="2"/>
    </row>
    <row r="25" spans="2:4" x14ac:dyDescent="0.25">
      <c r="D25" s="2"/>
    </row>
    <row r="26" spans="2:4" x14ac:dyDescent="0.25">
      <c r="B26" t="s">
        <v>138</v>
      </c>
      <c r="D26" s="2"/>
    </row>
    <row r="27" spans="2:4" x14ac:dyDescent="0.25">
      <c r="B27" t="s">
        <v>185</v>
      </c>
      <c r="D27" s="2"/>
    </row>
    <row r="28" spans="2:4" x14ac:dyDescent="0.25">
      <c r="B28" t="s">
        <v>186</v>
      </c>
      <c r="D28" s="2"/>
    </row>
    <row r="29" spans="2:4" x14ac:dyDescent="0.25">
      <c r="B29" t="s">
        <v>187</v>
      </c>
      <c r="D29" s="2"/>
    </row>
    <row r="30" spans="2:4" x14ac:dyDescent="0.25">
      <c r="B30" t="s">
        <v>188</v>
      </c>
      <c r="D30" s="2"/>
    </row>
    <row r="31" spans="2:4" x14ac:dyDescent="0.25">
      <c r="B31" t="s">
        <v>189</v>
      </c>
      <c r="D31" s="2"/>
    </row>
    <row r="32" spans="2:4" x14ac:dyDescent="0.25">
      <c r="B32" t="s">
        <v>196</v>
      </c>
      <c r="D32" s="2"/>
    </row>
    <row r="33" spans="2:12" x14ac:dyDescent="0.25">
      <c r="B33" t="s">
        <v>190</v>
      </c>
      <c r="D33" s="2"/>
    </row>
    <row r="34" spans="2:12" x14ac:dyDescent="0.25">
      <c r="D34" s="2"/>
    </row>
    <row r="35" spans="2:12" x14ac:dyDescent="0.25">
      <c r="B35" t="s">
        <v>139</v>
      </c>
      <c r="D35" s="2"/>
    </row>
    <row r="36" spans="2:12" x14ac:dyDescent="0.25">
      <c r="B36" t="s">
        <v>140</v>
      </c>
      <c r="D36" s="2"/>
    </row>
    <row r="37" spans="2:12" x14ac:dyDescent="0.25">
      <c r="B37" t="s">
        <v>141</v>
      </c>
      <c r="D37" s="2"/>
    </row>
    <row r="38" spans="2:12" x14ac:dyDescent="0.25">
      <c r="B38" t="s">
        <v>142</v>
      </c>
      <c r="D38" s="2"/>
    </row>
    <row r="39" spans="2:12" x14ac:dyDescent="0.25">
      <c r="B39" t="s">
        <v>143</v>
      </c>
      <c r="D39" s="2"/>
    </row>
    <row r="40" spans="2:12" x14ac:dyDescent="0.25">
      <c r="D40" s="2"/>
    </row>
    <row r="41" spans="2:12" x14ac:dyDescent="0.25">
      <c r="B41" t="s">
        <v>144</v>
      </c>
      <c r="D41" s="2"/>
    </row>
    <row r="42" spans="2:12" x14ac:dyDescent="0.25">
      <c r="B42" t="s">
        <v>145</v>
      </c>
      <c r="D42" s="2"/>
    </row>
    <row r="43" spans="2:12" x14ac:dyDescent="0.25">
      <c r="D43" s="2"/>
    </row>
    <row r="44" spans="2:12" x14ac:dyDescent="0.25">
      <c r="B44" t="s">
        <v>146</v>
      </c>
      <c r="J44" s="39">
        <f>matrixen!E7</f>
        <v>950</v>
      </c>
    </row>
    <row r="45" spans="2:12" x14ac:dyDescent="0.25">
      <c r="B45" t="str">
        <f>"Indien het verbruik lager ligt dan wordt het factuurbedrag opgetrokken tot € "&amp;J44</f>
        <v>Indien het verbruik lager ligt dan wordt het factuurbedrag opgetrokken tot € 950</v>
      </c>
      <c r="L45" s="39"/>
    </row>
    <row r="46" spans="2:12" x14ac:dyDescent="0.25">
      <c r="B46" t="s">
        <v>245</v>
      </c>
      <c r="D46" s="2"/>
    </row>
    <row r="47" spans="2:12" x14ac:dyDescent="0.25">
      <c r="B47" t="s">
        <v>147</v>
      </c>
      <c r="D47" s="2"/>
    </row>
    <row r="48" spans="2:12" x14ac:dyDescent="0.25">
      <c r="D48" s="2"/>
    </row>
    <row r="49" spans="2:13" x14ac:dyDescent="0.25">
      <c r="B49" t="s">
        <v>148</v>
      </c>
      <c r="D49" s="2"/>
    </row>
    <row r="50" spans="2:13" x14ac:dyDescent="0.25">
      <c r="B50" t="s">
        <v>149</v>
      </c>
      <c r="D50" s="2"/>
    </row>
    <row r="51" spans="2:13" x14ac:dyDescent="0.25">
      <c r="B51" t="s">
        <v>150</v>
      </c>
      <c r="M51" s="39">
        <f>J44/10</f>
        <v>95</v>
      </c>
    </row>
    <row r="52" spans="2:13" x14ac:dyDescent="0.25">
      <c r="B52" t="s">
        <v>151</v>
      </c>
      <c r="D52" s="2"/>
    </row>
    <row r="53" spans="2:13" x14ac:dyDescent="0.25">
      <c r="B53" t="s">
        <v>152</v>
      </c>
      <c r="D53" s="2"/>
    </row>
    <row r="54" spans="2:13" x14ac:dyDescent="0.25">
      <c r="B54" t="s">
        <v>153</v>
      </c>
      <c r="D54" s="2"/>
    </row>
    <row r="55" spans="2:13" x14ac:dyDescent="0.25">
      <c r="B55" t="s">
        <v>154</v>
      </c>
      <c r="D55" s="2"/>
    </row>
    <row r="56" spans="2:13" x14ac:dyDescent="0.25">
      <c r="B56" t="s">
        <v>155</v>
      </c>
      <c r="D56" s="2"/>
    </row>
    <row r="57" spans="2:13" x14ac:dyDescent="0.25">
      <c r="B57" s="39" t="s">
        <v>156</v>
      </c>
      <c r="G57" s="39">
        <f>M51</f>
        <v>95</v>
      </c>
    </row>
    <row r="58" spans="2:13" x14ac:dyDescent="0.25">
      <c r="B58" t="s">
        <v>157</v>
      </c>
      <c r="D58" s="2"/>
    </row>
    <row r="59" spans="2:13" x14ac:dyDescent="0.25">
      <c r="B59" t="s">
        <v>191</v>
      </c>
      <c r="D59" s="2"/>
    </row>
    <row r="60" spans="2:13" x14ac:dyDescent="0.25">
      <c r="B60" t="s">
        <v>192</v>
      </c>
      <c r="D60" s="2"/>
    </row>
    <row r="61" spans="2:13" x14ac:dyDescent="0.25">
      <c r="B61" t="s">
        <v>193</v>
      </c>
      <c r="D61" s="2"/>
    </row>
    <row r="62" spans="2:13" x14ac:dyDescent="0.25">
      <c r="B62" t="s">
        <v>194</v>
      </c>
      <c r="D62" s="2"/>
    </row>
    <row r="63" spans="2:13" x14ac:dyDescent="0.25">
      <c r="B63" t="s">
        <v>195</v>
      </c>
      <c r="D63" s="2"/>
    </row>
    <row r="64" spans="2:13" x14ac:dyDescent="0.25">
      <c r="D64" s="2"/>
    </row>
  </sheetData>
  <sheetProtection algorithmName="SHA-512" hashValue="/VrfrIZZmYJ8OTuOm2KqCWncP6h0jfqaM3zmHTD+3vVmmGUTjqwg8oiiW7wG8oLwjmWtu2c4icU3kbKSkSiwAA==" saltValue="PhmJ3crY0KvsCepPyRapGw==" spinCount="100000" sheet="1" objects="1" scenarios="1" selectLockedCells="1"/>
  <pageMargins left="0.7" right="0.7" top="0.75" bottom="0.75" header="0.3" footer="0.3"/>
  <pageSetup paperSize="9" scale="7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U62"/>
  <sheetViews>
    <sheetView showGridLines="0" showRowColHeaders="0" showZeros="0" zoomScaleNormal="100" workbookViewId="0">
      <selection activeCell="I14" sqref="I14"/>
    </sheetView>
  </sheetViews>
  <sheetFormatPr defaultRowHeight="15" x14ac:dyDescent="0.25"/>
  <cols>
    <col min="1" max="1" width="11.85546875" style="50" customWidth="1"/>
    <col min="2" max="2" width="5.42578125" style="50" customWidth="1"/>
    <col min="3" max="3" width="11" style="50" customWidth="1"/>
    <col min="4" max="4" width="9.140625" style="50"/>
    <col min="5" max="5" width="8" style="50" customWidth="1"/>
    <col min="6" max="6" width="10.28515625" style="50" customWidth="1"/>
    <col min="7" max="7" width="6.42578125" style="50" customWidth="1"/>
    <col min="8" max="8" width="12" style="50" customWidth="1"/>
    <col min="9" max="9" width="10.42578125" style="50" customWidth="1"/>
    <col min="10" max="16384" width="9.140625" style="50"/>
  </cols>
  <sheetData>
    <row r="1" spans="1:18" x14ac:dyDescent="0.25">
      <c r="C1" s="64" t="s">
        <v>273</v>
      </c>
      <c r="K1" s="47" t="s">
        <v>248</v>
      </c>
      <c r="P1" s="51" t="s">
        <v>249</v>
      </c>
      <c r="Q1" s="52">
        <f ca="1">E9</f>
        <v>0</v>
      </c>
    </row>
    <row r="2" spans="1:18" ht="15.75" thickBot="1" x14ac:dyDescent="0.3">
      <c r="A2" s="65" t="s">
        <v>204</v>
      </c>
      <c r="C2" s="50">
        <f>'recepties en babyborrels'!F58</f>
        <v>0</v>
      </c>
      <c r="G2" s="64" t="s">
        <v>205</v>
      </c>
      <c r="M2" s="53"/>
      <c r="P2" s="51" t="str">
        <f>IF(Q2&gt;0,"Prijs drankforfait na de maaltijd, volledig aan 21% BTW:","")</f>
        <v/>
      </c>
      <c r="Q2" s="52">
        <f>'recepties en babyborrels'!D33</f>
        <v>0</v>
      </c>
    </row>
    <row r="3" spans="1:18" ht="15.75" customHeight="1" thickBot="1" x14ac:dyDescent="0.3">
      <c r="A3" s="65" t="s">
        <v>201</v>
      </c>
      <c r="C3" s="50">
        <f>'recepties en babyborrels'!F59</f>
        <v>0</v>
      </c>
      <c r="G3" s="64" t="s">
        <v>206</v>
      </c>
      <c r="L3" s="54"/>
      <c r="M3" s="55" t="s">
        <v>261</v>
      </c>
      <c r="N3" s="55"/>
      <c r="O3" s="140" t="s">
        <v>262</v>
      </c>
      <c r="P3" s="143" t="str">
        <f>IF(Q2&gt;0,"Drank- forfait:","")</f>
        <v/>
      </c>
      <c r="Q3" s="145" t="s">
        <v>250</v>
      </c>
      <c r="R3" s="140" t="s">
        <v>263</v>
      </c>
    </row>
    <row r="4" spans="1:18" ht="15.75" thickBot="1" x14ac:dyDescent="0.3">
      <c r="A4" s="65" t="s">
        <v>202</v>
      </c>
      <c r="C4" s="50">
        <f>'recepties en babyborrels'!F60</f>
        <v>0</v>
      </c>
      <c r="G4" s="64" t="s">
        <v>207</v>
      </c>
      <c r="K4" s="56" t="s">
        <v>251</v>
      </c>
      <c r="L4" s="72" t="s">
        <v>252</v>
      </c>
      <c r="M4" s="56" t="s">
        <v>253</v>
      </c>
      <c r="N4" s="72" t="s">
        <v>254</v>
      </c>
      <c r="O4" s="141"/>
      <c r="P4" s="144"/>
      <c r="Q4" s="146"/>
      <c r="R4" s="141"/>
    </row>
    <row r="5" spans="1:18" x14ac:dyDescent="0.25">
      <c r="A5" s="65" t="s">
        <v>203</v>
      </c>
      <c r="C5" s="50">
        <f>'recepties en babyborrels'!F61</f>
        <v>0</v>
      </c>
      <c r="G5" s="50" t="s">
        <v>239</v>
      </c>
      <c r="J5" s="50" t="s">
        <v>255</v>
      </c>
      <c r="K5" s="57">
        <f>D9</f>
        <v>0</v>
      </c>
      <c r="L5" s="73">
        <f ca="1">Q1-Q2</f>
        <v>0</v>
      </c>
      <c r="M5" s="58">
        <f ca="1">ROUND(L5*0.65,2)</f>
        <v>0</v>
      </c>
      <c r="N5" s="74">
        <f ca="1">L5-M5</f>
        <v>0</v>
      </c>
      <c r="O5" s="75">
        <f ca="1">K5*M5</f>
        <v>0</v>
      </c>
      <c r="P5" s="76">
        <f>Q2</f>
        <v>0</v>
      </c>
      <c r="Q5" s="58">
        <f ca="1">N5+P5</f>
        <v>0</v>
      </c>
      <c r="R5" s="75">
        <f ca="1">K5*Q5</f>
        <v>0</v>
      </c>
    </row>
    <row r="6" spans="1:18" x14ac:dyDescent="0.25">
      <c r="A6" s="65" t="str">
        <f>'recepties en babyborrels'!E65</f>
        <v>reden feest:</v>
      </c>
      <c r="B6" s="66">
        <f>'recepties en babyborrels'!F65</f>
        <v>0</v>
      </c>
      <c r="C6" s="59"/>
      <c r="D6" s="59"/>
      <c r="E6" s="59"/>
      <c r="F6" s="59"/>
      <c r="G6" s="67" t="s">
        <v>208</v>
      </c>
      <c r="J6" s="50" t="s">
        <v>256</v>
      </c>
      <c r="K6" s="57">
        <f>D10</f>
        <v>0</v>
      </c>
      <c r="L6" s="73">
        <f ca="1">E10-P6</f>
        <v>0</v>
      </c>
      <c r="M6" s="58">
        <f ca="1">ROUND(L6*0.65,2)</f>
        <v>0</v>
      </c>
      <c r="N6" s="74">
        <f t="shared" ref="N6:N8" ca="1" si="0">L6-M6</f>
        <v>0</v>
      </c>
      <c r="O6" s="75">
        <f t="shared" ref="O6:O8" ca="1" si="1">K6*M6</f>
        <v>0</v>
      </c>
      <c r="P6" s="76">
        <f>ROUND(Q2/2,2)</f>
        <v>0</v>
      </c>
      <c r="Q6" s="58">
        <f ca="1">N6+P6</f>
        <v>0</v>
      </c>
      <c r="R6" s="75">
        <f t="shared" ref="R6:R8" ca="1" si="2">K6*Q6</f>
        <v>0</v>
      </c>
    </row>
    <row r="7" spans="1:18" x14ac:dyDescent="0.25">
      <c r="A7" s="64" t="s">
        <v>209</v>
      </c>
      <c r="C7" s="60">
        <f>'recepties en babyborrels'!F48</f>
        <v>0</v>
      </c>
      <c r="E7" s="65" t="s">
        <v>326</v>
      </c>
      <c r="F7" s="50">
        <f>'recepties en babyborrels'!F62</f>
        <v>0</v>
      </c>
      <c r="G7" s="67"/>
      <c r="J7" s="50" t="s">
        <v>257</v>
      </c>
      <c r="K7" s="57">
        <f>D11</f>
        <v>0</v>
      </c>
      <c r="L7" s="73">
        <f ca="1">E11-P7</f>
        <v>0</v>
      </c>
      <c r="M7" s="58">
        <f ca="1">ROUND(L7*0.65,2)</f>
        <v>0</v>
      </c>
      <c r="N7" s="74">
        <f t="shared" ca="1" si="0"/>
        <v>0</v>
      </c>
      <c r="O7" s="75">
        <f t="shared" ca="1" si="1"/>
        <v>0</v>
      </c>
      <c r="P7" s="76">
        <f>ROUND(Q2/3,2)</f>
        <v>0</v>
      </c>
      <c r="Q7" s="58">
        <f ca="1">N7+P7</f>
        <v>0</v>
      </c>
      <c r="R7" s="75">
        <f t="shared" ca="1" si="2"/>
        <v>0</v>
      </c>
    </row>
    <row r="8" spans="1:18" ht="15.75" thickBot="1" x14ac:dyDescent="0.3">
      <c r="A8" s="67" t="s">
        <v>210</v>
      </c>
      <c r="D8" s="56">
        <f>D9+D12+D11+D10</f>
        <v>0</v>
      </c>
      <c r="E8" s="51" t="s">
        <v>211</v>
      </c>
      <c r="G8" s="68" t="s">
        <v>212</v>
      </c>
      <c r="H8" s="56">
        <f>'recepties en babyborrels'!F55</f>
        <v>0</v>
      </c>
      <c r="J8" s="50" t="s">
        <v>258</v>
      </c>
      <c r="K8" s="57">
        <f>D12</f>
        <v>0</v>
      </c>
      <c r="L8" s="77" t="str">
        <f>E12</f>
        <v>0,00</v>
      </c>
      <c r="M8" s="78">
        <f>ROUND(L8*0.65,2)</f>
        <v>0</v>
      </c>
      <c r="N8" s="74">
        <f t="shared" si="0"/>
        <v>0</v>
      </c>
      <c r="O8" s="79">
        <f t="shared" si="1"/>
        <v>0</v>
      </c>
      <c r="P8" s="80"/>
      <c r="Q8" s="57">
        <f>N8+P8</f>
        <v>0</v>
      </c>
      <c r="R8" s="79">
        <f t="shared" si="2"/>
        <v>0</v>
      </c>
    </row>
    <row r="9" spans="1:18" ht="15.75" thickBot="1" x14ac:dyDescent="0.3">
      <c r="C9" s="68" t="s">
        <v>213</v>
      </c>
      <c r="D9" s="56">
        <f>'recepties en babyborrels'!F50</f>
        <v>0</v>
      </c>
      <c r="E9" s="52">
        <f ca="1">'recepties en babyborrels'!D7</f>
        <v>0</v>
      </c>
      <c r="G9" s="68" t="s">
        <v>199</v>
      </c>
      <c r="H9" s="56">
        <f>'recepties en babyborrels'!F56</f>
        <v>0</v>
      </c>
      <c r="L9" s="81" t="s">
        <v>264</v>
      </c>
      <c r="M9" s="82"/>
      <c r="O9" s="100">
        <f>ROUND(M9/98*100,2)</f>
        <v>0</v>
      </c>
      <c r="P9" s="83" t="str">
        <f>IF(Q9&gt;0,"Huur zaal/exclusiviteit","")</f>
        <v/>
      </c>
      <c r="Q9" s="58">
        <f>I12+I13</f>
        <v>0</v>
      </c>
    </row>
    <row r="10" spans="1:18" ht="15.75" thickBot="1" x14ac:dyDescent="0.3">
      <c r="C10" s="68" t="s">
        <v>214</v>
      </c>
      <c r="D10" s="56">
        <f>'recepties en babyborrels'!F51</f>
        <v>0</v>
      </c>
      <c r="E10" s="52">
        <f ca="1">'recepties en babyborrels'!J7</f>
        <v>0</v>
      </c>
      <c r="H10" s="51" t="s">
        <v>226</v>
      </c>
      <c r="I10" s="61">
        <f ca="1">D9*E9+D10*E10+D11*E11+D12*E12</f>
        <v>0</v>
      </c>
      <c r="L10" s="51" t="s">
        <v>265</v>
      </c>
      <c r="M10" s="147"/>
      <c r="N10" s="148"/>
    </row>
    <row r="11" spans="1:18" x14ac:dyDescent="0.25">
      <c r="C11" s="68" t="s">
        <v>215</v>
      </c>
      <c r="D11" s="56">
        <f>'recepties en babyborrels'!F52</f>
        <v>0</v>
      </c>
      <c r="E11" s="52">
        <f ca="1">'recepties en babyborrels'!H7</f>
        <v>0</v>
      </c>
      <c r="H11" s="51" t="s">
        <v>227</v>
      </c>
      <c r="I11" s="61">
        <f>'recepties en babyborrels'!F63</f>
        <v>0</v>
      </c>
      <c r="K11" s="1"/>
      <c r="L11" s="51" t="str">
        <f>IF(O9&gt;0,"Voorschot uitgesplitst:","")</f>
        <v/>
      </c>
      <c r="M11" s="52" t="str">
        <f>IF(O9&gt;0," € "&amp;ROUND(O9*0.65,2) &amp; " x 12% =&gt; Dep. B  en € " &amp; ROUND(O9*0.35,2) &amp; " x 21% =&gt; Dep. A.","")</f>
        <v/>
      </c>
      <c r="N11" s="52"/>
    </row>
    <row r="12" spans="1:18" ht="15.75" thickBot="1" x14ac:dyDescent="0.3">
      <c r="C12" s="68" t="s">
        <v>216</v>
      </c>
      <c r="D12" s="56">
        <f>'recepties en babyborrels'!F53</f>
        <v>0</v>
      </c>
      <c r="E12" s="62" t="str">
        <f>'recepties en babyborrels'!F7</f>
        <v>0,00</v>
      </c>
      <c r="H12" s="51" t="s">
        <v>228</v>
      </c>
      <c r="I12" s="61">
        <f>IF(D8=0,0,IF((I10+I11)&lt;'Algemene verkoopsvoorwaarden'!J44,('Algemene verkoopsvoorwaarden'!J44-Reservatievoorstel!I10-Reservatievoorstel!I11),0))</f>
        <v>0</v>
      </c>
      <c r="M12" s="51" t="s">
        <v>266</v>
      </c>
      <c r="N12" s="56">
        <f>IF(O9&gt;0,ROUNDUP((O9+1)/L5,0),0)</f>
        <v>0</v>
      </c>
      <c r="O12" s="52" t="s">
        <v>267</v>
      </c>
    </row>
    <row r="13" spans="1:18" ht="15.75" thickBot="1" x14ac:dyDescent="0.3">
      <c r="H13" s="51" t="str">
        <f>IF('recepties en babyborrels'!E47&gt;0,"U koos exclusiviteit: ","")</f>
        <v/>
      </c>
      <c r="I13" s="61">
        <f>'recepties en babyborrels'!E47</f>
        <v>0</v>
      </c>
      <c r="J13" s="149" t="s">
        <v>268</v>
      </c>
      <c r="K13" s="150"/>
      <c r="L13" s="151"/>
      <c r="M13" s="152" t="str">
        <f ca="1">IF(O9*0.65 &gt;N12*M5,"ONMOGELIJK U bekomt negatieve waarden.","")</f>
        <v/>
      </c>
      <c r="N13" s="152"/>
      <c r="O13" s="152"/>
      <c r="P13" s="152"/>
      <c r="Q13" s="152"/>
      <c r="R13" s="84"/>
    </row>
    <row r="14" spans="1:18" x14ac:dyDescent="0.25">
      <c r="C14" s="51"/>
      <c r="D14" s="61"/>
      <c r="H14" s="51" t="s">
        <v>229</v>
      </c>
      <c r="I14" s="61">
        <f ca="1">I12+I11+I10+I13</f>
        <v>0</v>
      </c>
      <c r="J14" s="85">
        <f>N12</f>
        <v>0</v>
      </c>
      <c r="K14" s="86" t="s">
        <v>269</v>
      </c>
      <c r="L14" s="86" t="s">
        <v>270</v>
      </c>
      <c r="M14" s="87" t="str">
        <f ca="1">IFERROR(ROUND(M5-O9*0.65/N12,2),"")</f>
        <v/>
      </c>
      <c r="N14" s="88">
        <v>0.12</v>
      </c>
      <c r="O14" s="87" t="str">
        <f ca="1">IFERROR(J14*M14,"")</f>
        <v/>
      </c>
      <c r="P14" s="89" t="s">
        <v>262</v>
      </c>
      <c r="Q14" s="90" t="s">
        <v>271</v>
      </c>
      <c r="R14" s="91"/>
    </row>
    <row r="15" spans="1:18" x14ac:dyDescent="0.25">
      <c r="B15" s="68"/>
      <c r="H15" s="51" t="s">
        <v>244</v>
      </c>
      <c r="I15" s="61">
        <f ca="1">'recepties en babyborrels'!F72</f>
        <v>0</v>
      </c>
      <c r="J15" s="153" t="str">
        <f>IFERROR( " Er wordt € " &amp; ROUND(O9*0.65/N12,2) &amp; " minder geboekt bij " &amp; N12 &amp; " personen omdat dit reeds als voorschot werd geboekt.","")</f>
        <v/>
      </c>
      <c r="K15" s="154"/>
      <c r="L15" s="154"/>
      <c r="M15" s="154"/>
      <c r="N15" s="154"/>
      <c r="O15" s="154"/>
      <c r="P15" s="154"/>
      <c r="Q15" s="154"/>
      <c r="R15" s="155"/>
    </row>
    <row r="16" spans="1:18" x14ac:dyDescent="0.25">
      <c r="E16" s="67"/>
      <c r="G16" s="51"/>
      <c r="I16" s="68" t="str">
        <f>IF(O9&gt;0," Uw voorschot van € " &amp; O9 &amp; " wordt nog in mindering gebracht","")</f>
        <v/>
      </c>
      <c r="J16" s="92">
        <f>N12</f>
        <v>0</v>
      </c>
      <c r="K16" s="89" t="s">
        <v>269</v>
      </c>
      <c r="L16" s="89" t="s">
        <v>270</v>
      </c>
      <c r="M16" s="87" t="str">
        <f ca="1">IFERROR(ROUND(Q5-O9*0.35/N12,2),"")</f>
        <v/>
      </c>
      <c r="N16" s="88">
        <v>0.21</v>
      </c>
      <c r="O16" s="87" t="str">
        <f ca="1">IFERROR(J16*M16,"")</f>
        <v/>
      </c>
      <c r="P16" s="89" t="s">
        <v>263</v>
      </c>
      <c r="Q16" s="90" t="s">
        <v>271</v>
      </c>
      <c r="R16" s="91"/>
    </row>
    <row r="17" spans="1:21" x14ac:dyDescent="0.25">
      <c r="A17" s="124">
        <f ca="1">IFERROR(E9,"Dit voorstel is ongeldig. Het aantal hapjes klopt niet")</f>
        <v>0</v>
      </c>
      <c r="B17" s="64"/>
      <c r="H17" s="65" t="s">
        <v>235</v>
      </c>
      <c r="J17" s="153" t="str">
        <f>IFERROR( " Er wordt € " &amp; ROUND(O9*0.35/N12,2) &amp; " minder geboekt bij " &amp; N12 &amp; " personen omdat dit reeds als voorschot werd geboekt.","")</f>
        <v/>
      </c>
      <c r="K17" s="154"/>
      <c r="L17" s="154"/>
      <c r="M17" s="154"/>
      <c r="N17" s="154"/>
      <c r="O17" s="154"/>
      <c r="P17" s="154"/>
      <c r="Q17" s="154"/>
      <c r="R17" s="155"/>
    </row>
    <row r="18" spans="1:21" x14ac:dyDescent="0.25">
      <c r="B18" s="64"/>
      <c r="C18" s="64"/>
      <c r="D18" s="64"/>
      <c r="E18" s="64"/>
      <c r="F18" s="64"/>
      <c r="I18" s="68" t="s">
        <v>234</v>
      </c>
      <c r="J18" s="92">
        <f>K5-J14</f>
        <v>0</v>
      </c>
      <c r="K18" s="89" t="str">
        <f>K14</f>
        <v>vol</v>
      </c>
      <c r="L18" s="89" t="s">
        <v>270</v>
      </c>
      <c r="M18" s="87">
        <f ca="1">M5</f>
        <v>0</v>
      </c>
      <c r="N18" s="88">
        <v>0.12</v>
      </c>
      <c r="O18" s="87">
        <f t="shared" ref="O18:O23" ca="1" si="3">J18*M18</f>
        <v>0</v>
      </c>
      <c r="P18" s="89" t="s">
        <v>262</v>
      </c>
      <c r="Q18" s="63"/>
      <c r="R18" s="91"/>
    </row>
    <row r="19" spans="1:21" x14ac:dyDescent="0.25">
      <c r="A19" s="69"/>
      <c r="B19" s="69"/>
      <c r="C19" s="69"/>
      <c r="D19" s="69"/>
      <c r="E19" s="69"/>
      <c r="F19" s="69"/>
      <c r="G19" s="69"/>
      <c r="I19" s="68" t="s">
        <v>236</v>
      </c>
      <c r="J19" s="92">
        <f>K5-J16</f>
        <v>0</v>
      </c>
      <c r="K19" s="89" t="str">
        <f>K16</f>
        <v>vol</v>
      </c>
      <c r="L19" s="89" t="s">
        <v>270</v>
      </c>
      <c r="M19" s="87">
        <f ca="1">Q5</f>
        <v>0</v>
      </c>
      <c r="N19" s="88">
        <v>0.21</v>
      </c>
      <c r="O19" s="87">
        <f t="shared" ca="1" si="3"/>
        <v>0</v>
      </c>
      <c r="P19" s="89" t="s">
        <v>263</v>
      </c>
      <c r="Q19" s="63"/>
      <c r="R19" s="91"/>
      <c r="U19" s="52"/>
    </row>
    <row r="20" spans="1:21" x14ac:dyDescent="0.25">
      <c r="A20" s="69">
        <f>'recepties en babyborrels'!H49</f>
        <v>0</v>
      </c>
      <c r="B20" s="69"/>
      <c r="C20" s="69"/>
      <c r="D20" s="69"/>
      <c r="E20" s="69"/>
      <c r="F20" s="69"/>
      <c r="G20" s="69"/>
      <c r="H20" s="69"/>
      <c r="I20" s="63"/>
      <c r="J20" s="92">
        <f>K6</f>
        <v>0</v>
      </c>
      <c r="K20" s="89" t="str">
        <f>J6</f>
        <v>JR 1/2</v>
      </c>
      <c r="L20" s="89" t="s">
        <v>270</v>
      </c>
      <c r="M20" s="87">
        <f ca="1">M6</f>
        <v>0</v>
      </c>
      <c r="N20" s="88">
        <v>0.12</v>
      </c>
      <c r="O20" s="87">
        <f t="shared" ca="1" si="3"/>
        <v>0</v>
      </c>
      <c r="P20" s="89" t="s">
        <v>262</v>
      </c>
      <c r="Q20" s="63"/>
      <c r="R20" s="91"/>
    </row>
    <row r="21" spans="1:21" x14ac:dyDescent="0.25">
      <c r="A21" s="50" t="str">
        <f>IF(D21&lt;&gt;"","u selecteerde als supplement: ","")</f>
        <v/>
      </c>
      <c r="B21" s="69"/>
      <c r="D21" s="1" t="str">
        <f>'recepties en babyborrels'!H50</f>
        <v/>
      </c>
      <c r="E21" s="69"/>
      <c r="F21" s="69"/>
      <c r="G21" s="69"/>
      <c r="H21" s="69"/>
      <c r="I21" s="63"/>
      <c r="J21" s="92">
        <f>K6</f>
        <v>0</v>
      </c>
      <c r="K21" s="89" t="str">
        <f>J6</f>
        <v>JR 1/2</v>
      </c>
      <c r="L21" s="89" t="s">
        <v>270</v>
      </c>
      <c r="M21" s="87">
        <f ca="1">Q6</f>
        <v>0</v>
      </c>
      <c r="N21" s="88">
        <v>0.21</v>
      </c>
      <c r="O21" s="87">
        <f t="shared" ca="1" si="3"/>
        <v>0</v>
      </c>
      <c r="P21" s="89" t="s">
        <v>263</v>
      </c>
      <c r="Q21" s="63"/>
      <c r="R21" s="91"/>
    </row>
    <row r="22" spans="1:21" x14ac:dyDescent="0.25">
      <c r="A22" s="50" t="str">
        <f>IF(D22&lt;&gt;"","u selecteerde als supplement: ","")</f>
        <v/>
      </c>
      <c r="D22" s="1" t="str">
        <f>'recepties en babyborrels'!L48</f>
        <v/>
      </c>
      <c r="E22" s="69"/>
      <c r="F22" s="69"/>
      <c r="G22" s="69"/>
      <c r="H22" s="69"/>
      <c r="I22" s="63"/>
      <c r="J22" s="92">
        <f>K7</f>
        <v>0</v>
      </c>
      <c r="K22" s="89" t="str">
        <f>J7</f>
        <v>JR 1/3</v>
      </c>
      <c r="L22" s="89" t="s">
        <v>270</v>
      </c>
      <c r="M22" s="87">
        <f ca="1">M7</f>
        <v>0</v>
      </c>
      <c r="N22" s="88">
        <v>0.12</v>
      </c>
      <c r="O22" s="87">
        <f t="shared" ca="1" si="3"/>
        <v>0</v>
      </c>
      <c r="P22" s="89" t="s">
        <v>262</v>
      </c>
      <c r="Q22" s="63"/>
      <c r="R22" s="91"/>
    </row>
    <row r="23" spans="1:21" x14ac:dyDescent="0.25">
      <c r="A23" s="50" t="str">
        <f>IF(D23&lt;&gt;"","u selecteerde als supplement: ","")</f>
        <v/>
      </c>
      <c r="D23" s="1"/>
      <c r="F23" s="69"/>
      <c r="G23" s="69"/>
      <c r="H23" s="69"/>
      <c r="I23" s="63"/>
      <c r="J23" s="93">
        <f>K7</f>
        <v>0</v>
      </c>
      <c r="K23" s="89" t="str">
        <f>J7</f>
        <v>JR 1/3</v>
      </c>
      <c r="L23" s="89" t="s">
        <v>270</v>
      </c>
      <c r="M23" s="87">
        <f ca="1">Q7</f>
        <v>0</v>
      </c>
      <c r="N23" s="88">
        <v>0.21</v>
      </c>
      <c r="O23" s="87">
        <f t="shared" ca="1" si="3"/>
        <v>0</v>
      </c>
      <c r="P23" s="89" t="s">
        <v>263</v>
      </c>
      <c r="Q23" s="63"/>
      <c r="R23" s="91"/>
    </row>
    <row r="24" spans="1:21" ht="15.75" thickBot="1" x14ac:dyDescent="0.3">
      <c r="C24" s="69"/>
      <c r="D24" s="69"/>
      <c r="E24" s="69"/>
      <c r="F24" s="69"/>
      <c r="G24" s="69"/>
      <c r="H24" s="69"/>
      <c r="I24" s="68" t="str">
        <f>'recepties en babyborrels'!B16</f>
        <v>De gast die een extra aperitief bestelt betaalt deze zelf</v>
      </c>
      <c r="J24" s="94">
        <f>IF(L24&gt;L240,"1",0)</f>
        <v>0</v>
      </c>
      <c r="K24" s="95" t="str">
        <f>IF(L24&gt;0,"x","")</f>
        <v/>
      </c>
      <c r="L24" s="96">
        <f>Q9</f>
        <v>0</v>
      </c>
      <c r="M24" s="97" t="str">
        <f>IF(L24&gt;0,"21%","")</f>
        <v/>
      </c>
      <c r="N24" s="95" t="str">
        <f>IF(L24&gt;0,"Dep. A","")</f>
        <v/>
      </c>
      <c r="O24" s="156" t="str">
        <f>P9</f>
        <v/>
      </c>
      <c r="P24" s="156"/>
      <c r="Q24" s="156"/>
      <c r="R24" s="157"/>
    </row>
    <row r="25" spans="1:21" x14ac:dyDescent="0.25">
      <c r="A25" s="1">
        <f>'recepties en babyborrels'!H51</f>
        <v>0</v>
      </c>
      <c r="B25" s="69"/>
      <c r="C25" s="69"/>
      <c r="D25" s="69"/>
      <c r="E25" s="69"/>
      <c r="F25" s="69"/>
      <c r="G25" s="69"/>
      <c r="H25" s="69"/>
      <c r="I25" s="63"/>
      <c r="K25" s="98" t="s">
        <v>272</v>
      </c>
      <c r="L25" s="52">
        <f ca="1">SUM(O14:O23)+L24+O9+I11</f>
        <v>0</v>
      </c>
      <c r="M25" s="52" t="str">
        <f ca="1">IF(SUM(O14:O23)+L24+O9+I11 &lt;&gt;I14," Er is iets fout met de splitsingstabel","")</f>
        <v/>
      </c>
    </row>
    <row r="26" spans="1:21" ht="15" customHeight="1" x14ac:dyDescent="0.25">
      <c r="A26" s="102" t="str">
        <f>IF('recepties en babyborrels'!B39="ja","Er vallen 2 hapjes weg.","")</f>
        <v/>
      </c>
      <c r="B26" s="69"/>
      <c r="D26" s="69"/>
      <c r="E26" s="69"/>
      <c r="F26" s="69"/>
      <c r="G26" s="69"/>
      <c r="H26" s="69"/>
      <c r="I26" s="63"/>
      <c r="J26" s="158" t="str">
        <f ca="1">"De eventuele korting contant van 2 %, in het huidig voorstel is dit € " &amp; ROUND(I14-I15,2) &amp; " is nog niet in bovenstaande splitsing verwerkt."</f>
        <v>De eventuele korting contant van 2 %, in het huidig voorstel is dit € 0 is nog niet in bovenstaande splitsing verwerkt.</v>
      </c>
      <c r="K26" s="158"/>
      <c r="L26" s="158"/>
      <c r="M26" s="158"/>
      <c r="N26" s="158"/>
      <c r="O26" s="158"/>
      <c r="P26" s="158"/>
      <c r="Q26" s="158"/>
      <c r="R26" s="158"/>
    </row>
    <row r="27" spans="1:21" ht="15.75" thickBot="1" x14ac:dyDescent="0.3">
      <c r="A27" s="103" t="str">
        <f>IF('recepties en babyborrels'!B41&lt;&gt;"","extra inbegrepen: "&amp;'recepties en babyborrels'!B41,"")</f>
        <v/>
      </c>
      <c r="B27" s="69"/>
      <c r="D27" s="69"/>
      <c r="E27" s="69"/>
      <c r="F27" s="69"/>
      <c r="G27" s="69"/>
      <c r="H27" s="69"/>
      <c r="I27" s="63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1:21" ht="15.75" thickTop="1" x14ac:dyDescent="0.25">
      <c r="A28" s="103" t="str">
        <f>IF('recepties en babyborrels'!B43&lt;&gt;"", "extra inbegrepen: "&amp;'recepties en babyborrels'!B43,"")</f>
        <v/>
      </c>
      <c r="B28" s="69"/>
      <c r="D28" s="69"/>
      <c r="E28" s="69"/>
      <c r="F28" s="69"/>
      <c r="G28" s="69"/>
      <c r="H28" s="69"/>
      <c r="I28" s="63"/>
    </row>
    <row r="29" spans="1:21" x14ac:dyDescent="0.25">
      <c r="A29" s="103" t="str">
        <f>IF('recepties en babyborrels'!B45&lt;&gt;"", "extra inbegrepen: "&amp;'recepties en babyborrels'!B45,"")</f>
        <v/>
      </c>
      <c r="B29" s="69"/>
      <c r="D29" s="69"/>
      <c r="E29" s="69"/>
      <c r="F29" s="69"/>
      <c r="G29" s="69"/>
      <c r="H29" s="69"/>
      <c r="I29" s="63"/>
    </row>
    <row r="30" spans="1:21" x14ac:dyDescent="0.25">
      <c r="A30" s="103" t="str">
        <f>IF('recepties en babyborrels'!B47&lt;&gt;"nee", "Klant wenst exclusiviteit op het domein en betaalt daarvoor een meerprijs van: € " &amp;'recepties en babyborrels'!E47,"")</f>
        <v/>
      </c>
      <c r="B30" s="69"/>
      <c r="D30" s="69"/>
      <c r="E30" s="69"/>
      <c r="F30" s="69"/>
      <c r="G30" s="69"/>
      <c r="H30" s="161"/>
      <c r="I30" s="63"/>
      <c r="J30" s="1" t="str">
        <f>IF(J32&lt;&gt;"","Detail van de borrel:","")</f>
        <v>Detail van de borrel:</v>
      </c>
    </row>
    <row r="31" spans="1:21" x14ac:dyDescent="0.25">
      <c r="A31" s="69"/>
      <c r="B31" s="69"/>
      <c r="C31" s="69"/>
      <c r="D31" s="69"/>
      <c r="E31" s="69"/>
      <c r="F31" s="69"/>
      <c r="G31" s="69"/>
      <c r="H31" s="69"/>
      <c r="I31" s="63"/>
    </row>
    <row r="32" spans="1:21" x14ac:dyDescent="0.25">
      <c r="A32" s="69"/>
      <c r="B32" s="69"/>
      <c r="C32" s="69"/>
      <c r="D32" s="69"/>
      <c r="E32" s="69"/>
      <c r="F32" s="69"/>
      <c r="G32" s="69"/>
      <c r="H32" s="69"/>
      <c r="I32" s="63"/>
      <c r="J32" s="50">
        <f>A20</f>
        <v>0</v>
      </c>
    </row>
    <row r="33" spans="1:17" x14ac:dyDescent="0.25">
      <c r="A33" s="50" t="s">
        <v>403</v>
      </c>
      <c r="B33" s="69"/>
      <c r="C33" s="69"/>
      <c r="D33" s="69"/>
      <c r="E33" s="69"/>
      <c r="F33" s="69"/>
      <c r="G33" s="63"/>
      <c r="H33" s="63"/>
      <c r="I33" s="63"/>
      <c r="J33" s="50">
        <f>'recepties en babyborrels'!J12</f>
        <v>0</v>
      </c>
      <c r="N33" s="50" t="str">
        <f>IF(A20=matrixen!M14,"gevolgd door een drankforfait voor de gehele avond","")</f>
        <v/>
      </c>
    </row>
    <row r="34" spans="1:17" x14ac:dyDescent="0.25">
      <c r="A34" s="125" t="str">
        <f>'recepties en babyborrels'!B33</f>
        <v>Alle drank na de receptie komt op één rekening en wordt door de organisator van het feest betaald</v>
      </c>
      <c r="B34" s="69"/>
      <c r="C34" s="69"/>
      <c r="D34" s="69"/>
      <c r="E34" s="69"/>
      <c r="F34" s="69"/>
      <c r="G34" s="63"/>
      <c r="H34" s="63"/>
      <c r="I34" s="63"/>
      <c r="J34" s="50">
        <f>'recepties en babyborrels'!J13</f>
        <v>0</v>
      </c>
    </row>
    <row r="35" spans="1:17" x14ac:dyDescent="0.25">
      <c r="A35" s="160" t="str">
        <f>'recepties en babyborrels'!J64 &amp; " " &amp;'recepties en babyborrels'!K64</f>
        <v>Wijze van betaling: Storting op BE 48 4631 1391 2127 min. 7 dagen voor het feest, 2% korting</v>
      </c>
      <c r="B35" s="160"/>
      <c r="C35" s="160"/>
      <c r="D35" s="160"/>
      <c r="E35" s="160"/>
      <c r="F35" s="160"/>
      <c r="G35" s="160"/>
      <c r="H35" s="160"/>
      <c r="I35" s="160"/>
      <c r="J35" s="50">
        <f>'recepties en babyborrels'!J14</f>
        <v>0</v>
      </c>
    </row>
    <row r="36" spans="1:17" x14ac:dyDescent="0.25">
      <c r="A36" s="160"/>
      <c r="B36" s="160"/>
      <c r="C36" s="160"/>
      <c r="D36" s="160"/>
      <c r="E36" s="160"/>
      <c r="F36" s="160"/>
      <c r="G36" s="160"/>
      <c r="H36" s="160"/>
      <c r="I36" s="160"/>
      <c r="J36" s="50">
        <f>IF(OR($J$32=matrixen!$X$14,$J$32=matrixen!$Y$14,$J$32=matrixen!$Z$14,$J$32=matrixen!$AA$14),'recepties en babyborrels'!B25,'recepties en babyborrels'!J15)</f>
        <v>0</v>
      </c>
    </row>
    <row r="37" spans="1:17" x14ac:dyDescent="0.25">
      <c r="A37" s="142" t="str">
        <f>"Opmerking: " &amp;'recepties en babyborrels'!F66</f>
        <v xml:space="preserve">Opmerking: </v>
      </c>
      <c r="B37" s="142"/>
      <c r="C37" s="142"/>
      <c r="D37" s="142"/>
      <c r="E37" s="142"/>
      <c r="F37" s="142"/>
      <c r="G37" s="142"/>
      <c r="H37" s="142"/>
      <c r="I37" s="142"/>
      <c r="J37" s="50">
        <f>IF(OR($J$32=matrixen!$X$14,$J$32=matrixen!$Y$14,$J$32=matrixen!$Z$14,$J$32=matrixen!$AA$14),'recepties en babyborrels'!B26,'recepties en babyborrels'!J16)</f>
        <v>0</v>
      </c>
    </row>
    <row r="38" spans="1:17" x14ac:dyDescent="0.25">
      <c r="A38" s="142"/>
      <c r="B38" s="142"/>
      <c r="C38" s="142"/>
      <c r="D38" s="142"/>
      <c r="E38" s="142"/>
      <c r="F38" s="142"/>
      <c r="G38" s="142"/>
      <c r="H38" s="142"/>
      <c r="I38" s="142"/>
      <c r="J38" s="50">
        <f>IF(OR($J$32=matrixen!$X$14,$J$32=matrixen!$Y$14,$J$32=matrixen!$Z$14,$J$32=matrixen!$AA$14),'recepties en babyborrels'!B27,'recepties en babyborrels'!J17)</f>
        <v>0</v>
      </c>
    </row>
    <row r="39" spans="1:17" x14ac:dyDescent="0.25">
      <c r="A39" s="142"/>
      <c r="B39" s="142"/>
      <c r="C39" s="142"/>
      <c r="D39" s="142"/>
      <c r="E39" s="142"/>
      <c r="F39" s="142"/>
      <c r="G39" s="142"/>
      <c r="H39" s="142"/>
      <c r="I39" s="142"/>
      <c r="J39" s="50">
        <f>IF(OR($J$32=matrixen!$X$14,$J$32=matrixen!$Y$14,$J$32=matrixen!$Z$14,$J$32=matrixen!$AA$14),'recepties en babyborrels'!B28,'recepties en babyborrels'!J18)</f>
        <v>0</v>
      </c>
    </row>
    <row r="40" spans="1:17" x14ac:dyDescent="0.25">
      <c r="A40" s="142"/>
      <c r="B40" s="142"/>
      <c r="C40" s="142"/>
      <c r="D40" s="142"/>
      <c r="E40" s="142"/>
      <c r="F40" s="142"/>
      <c r="G40" s="142"/>
      <c r="H40" s="142"/>
      <c r="I40" s="142"/>
      <c r="J40" s="50">
        <f>IF(OR($J$32=matrixen!$X$14,$J$32=matrixen!$Y$14,$J$32=matrixen!$Z$14,$J$32=matrixen!$AA$14),'recepties en babyborrels'!F23,'recepties en babyborrels'!J19)</f>
        <v>0</v>
      </c>
    </row>
    <row r="41" spans="1:17" x14ac:dyDescent="0.25">
      <c r="A41" s="142"/>
      <c r="B41" s="142"/>
      <c r="C41" s="142"/>
      <c r="D41" s="142"/>
      <c r="E41" s="142"/>
      <c r="F41" s="142"/>
      <c r="G41" s="142"/>
      <c r="H41" s="142"/>
      <c r="I41" s="142"/>
      <c r="J41" s="50">
        <f>IF(OR($J$32=matrixen!$X$14,$J$32=matrixen!$Y$14,$J$32=matrixen!$Z$14,$J$32=matrixen!$AA$14),'recepties en babyborrels'!F24,'recepties en babyborrels'!J20)</f>
        <v>0</v>
      </c>
      <c r="Q41" s="104">
        <f>IF(OR($J$32=matrixen!$X$14,$J$32=matrixen!$Y$14,$J$32=matrixen!$Z$14,$J$32=matrixen!$AA$14),'recepties en babyborrels'!F36,'recepties en babyborrels'!J30)</f>
        <v>0</v>
      </c>
    </row>
    <row r="42" spans="1:17" x14ac:dyDescent="0.25">
      <c r="B42" s="64"/>
      <c r="C42" s="51" t="s">
        <v>260</v>
      </c>
      <c r="D42" s="56" t="str">
        <f>'recepties en babyborrels'!K66</f>
        <v>nee</v>
      </c>
      <c r="G42" s="51" t="s">
        <v>181</v>
      </c>
      <c r="H42" s="56" t="str">
        <f>'recepties en babyborrels'!G42</f>
        <v>nee</v>
      </c>
      <c r="J42" s="50">
        <f>IF(OR($J$32=matrixen!$X$14,$J$32=matrixen!$Y$14,$J$32=matrixen!$Z$14,$J$32=matrixen!$AA$14),'recepties en babyborrels'!F25,'recepties en babyborrels'!J21)</f>
        <v>0</v>
      </c>
      <c r="Q42" s="104">
        <f>IF(OR($J$32=matrixen!$X$14,$J$32=matrixen!$Y$14,$J$32=matrixen!$Z$14,$J$32=matrixen!$AA$14),'recepties en babyborrels'!F37,'recepties en babyborrels'!J31)</f>
        <v>0</v>
      </c>
    </row>
    <row r="43" spans="1:17" x14ac:dyDescent="0.25">
      <c r="C43" s="51" t="s">
        <v>184</v>
      </c>
      <c r="D43" s="56" t="str">
        <f>'recepties en babyborrels'!G44</f>
        <v>nee</v>
      </c>
      <c r="F43" s="67"/>
      <c r="G43" s="51" t="s">
        <v>182</v>
      </c>
      <c r="H43" s="56" t="str">
        <f>'recepties en babyborrels'!I42</f>
        <v>nee</v>
      </c>
      <c r="J43" s="50">
        <f>IF(OR($J$32=matrixen!$X$14,$J$32=matrixen!$Y$14,$J$32=matrixen!$Z$14,$J$32=matrixen!$AA$14),'recepties en babyborrels'!F26,'recepties en babyborrels'!J22)</f>
        <v>0</v>
      </c>
      <c r="Q43" s="104">
        <f>IF(OR($J$32=matrixen!$X$14,$J$32=matrixen!$Y$14,$J$32=matrixen!$Z$14,$J$32=matrixen!$AA$14),'recepties en babyborrels'!F38,'recepties en babyborrels'!J32)</f>
        <v>0</v>
      </c>
    </row>
    <row r="44" spans="1:17" x14ac:dyDescent="0.25">
      <c r="C44" s="51" t="str">
        <f>'recepties en babyborrels'!H44</f>
        <v xml:space="preserve">Allergenen: </v>
      </c>
      <c r="D44" s="56" t="str">
        <f>'recepties en babyborrels'!I44</f>
        <v>nee</v>
      </c>
      <c r="F44" s="64"/>
      <c r="G44" s="51" t="s">
        <v>183</v>
      </c>
      <c r="H44" s="56" t="str">
        <f>'recepties en babyborrels'!K42</f>
        <v>nee</v>
      </c>
      <c r="J44" s="50">
        <f>IF(OR($J$32=matrixen!$X$14,$J$32=matrixen!$Y$14,$J$32=matrixen!$Z$14,$J$32=matrixen!$AA$14),'recepties en babyborrels'!F27,'recepties en babyborrels'!J23)</f>
        <v>0</v>
      </c>
      <c r="Q44" s="104">
        <f>IF(OR($J$32=matrixen!$X$14,$J$32=matrixen!$Y$14,$J$32=matrixen!$Z$14,$J$32=matrixen!$AA$14),'recepties en babyborrels'!F39,'recepties en babyborrels'!J33)</f>
        <v>0</v>
      </c>
    </row>
    <row r="45" spans="1:17" x14ac:dyDescent="0.25">
      <c r="A45" s="64" t="s">
        <v>217</v>
      </c>
      <c r="I45" s="60">
        <f>C7-9</f>
        <v>-9</v>
      </c>
      <c r="J45" s="50">
        <f>IF(OR($J$32=matrixen!$X$14,$J$32=matrixen!$Y$14,$J$32=matrixen!$Z$14,$J$32=matrixen!$AA$14),'recepties en babyborrels'!F28,'recepties en babyborrels'!J24)</f>
        <v>0</v>
      </c>
      <c r="Q45" s="104">
        <f>IF(OR($J$32=matrixen!$X$14,$J$32=matrixen!$Y$14,$J$32=matrixen!$Z$14,$J$32=matrixen!$AA$14),'recepties en babyborrels'!F40,'recepties en babyborrels'!J34)</f>
        <v>0</v>
      </c>
    </row>
    <row r="46" spans="1:17" x14ac:dyDescent="0.25">
      <c r="A46" s="64" t="s">
        <v>218</v>
      </c>
      <c r="J46" s="50">
        <f>IF(OR($J$32=matrixen!$X$14,$J$32=matrixen!$Y$14,$J$32=matrixen!$Z$14,$J$32=matrixen!$AA$14),'recepties en babyborrels'!F29,'recepties en babyborrels'!J25)</f>
        <v>0</v>
      </c>
      <c r="Q46" s="104">
        <f>IF(OR($J$32=matrixen!$X$14,$J$32=matrixen!$Y$14,$J$32=matrixen!$Z$14,$J$32=matrixen!$AA$14),'recepties en babyborrels'!F41,'recepties en babyborrels'!J35)</f>
        <v>0</v>
      </c>
    </row>
    <row r="47" spans="1:17" x14ac:dyDescent="0.25">
      <c r="A47" s="67" t="s">
        <v>219</v>
      </c>
      <c r="J47" s="50">
        <f>IF(OR($J$32=matrixen!$X$14,$J$32=matrixen!$Y$14,$J$32=matrixen!$Z$14,$J$32=matrixen!$AA$14),'recepties en babyborrels'!F30,'recepties en babyborrels'!J26)</f>
        <v>0</v>
      </c>
      <c r="Q47" s="104">
        <f>IF(OR($J$32=matrixen!$X$14,$J$32=matrixen!$Y$14,$J$32=matrixen!$Z$14,$J$32=matrixen!$AA$14),"",'recepties en babyborrels'!J36)</f>
        <v>0</v>
      </c>
    </row>
    <row r="48" spans="1:17" x14ac:dyDescent="0.25">
      <c r="A48" s="67" t="s">
        <v>220</v>
      </c>
      <c r="H48" s="68" t="s">
        <v>197</v>
      </c>
      <c r="I48" s="70" t="str">
        <f>'recepties en babyborrels'!K62</f>
        <v>ja</v>
      </c>
      <c r="J48" s="50">
        <f>IF(OR($J$32=matrixen!$X$14,$J$32=matrixen!$Y$14,$J$32=matrixen!$Z$14,$J$32=matrixen!$AA$14),'recepties en babyborrels'!F31,'recepties en babyborrels'!J27)</f>
        <v>0</v>
      </c>
      <c r="Q48" s="104">
        <f>IF(OR($J$32=matrixen!$X$14,$J$32=matrixen!$Y$14,$J$32=matrixen!$Z$14,$J$32=matrixen!$AA$14),'recepties en babyborrels'!F43,'recepties en babyborrels'!J37)</f>
        <v>0</v>
      </c>
    </row>
    <row r="49" spans="1:17" x14ac:dyDescent="0.25">
      <c r="A49" s="67" t="s">
        <v>221</v>
      </c>
      <c r="J49" s="50">
        <f>IF(OR($J$32=matrixen!$X$14,$J$32=matrixen!$Y$14,$J$32=matrixen!$Z$14,$J$32=matrixen!$AA$14),'recepties en babyborrels'!F32,'recepties en babyborrels'!J28)</f>
        <v>0</v>
      </c>
      <c r="Q49" s="104">
        <f>IF(OR($J$32=matrixen!$X$14,$J$32=matrixen!$Y$14,$J$32=matrixen!$Z$14,$J$32=matrixen!$AA$14),"",'recepties en babyborrels'!J38)</f>
        <v>0</v>
      </c>
    </row>
    <row r="50" spans="1:17" x14ac:dyDescent="0.25">
      <c r="C50" s="64" t="s">
        <v>222</v>
      </c>
      <c r="H50" s="64" t="s">
        <v>223</v>
      </c>
      <c r="J50" s="50">
        <f>IF(OR($J$32=matrixen!$X$14,$J$32=matrixen!$Y$14,$J$32=matrixen!$Z$14,$J$32=matrixen!$AA$14),'recepties en babyborrels'!F33,'recepties en babyborrels'!J29)</f>
        <v>0</v>
      </c>
      <c r="Q50" s="104">
        <f>IF(OR($J$32=matrixen!$X$14,$J$32=matrixen!$Y$14,$J$32=matrixen!$Z$14,$J$32=matrixen!$AA$14),"",'recepties en babyborrels'!J39)</f>
        <v>0</v>
      </c>
    </row>
    <row r="62" spans="1:17" x14ac:dyDescent="0.25">
      <c r="J62" s="50">
        <f>IF(OR($J$32=matrixen!$X$14,$J$32=matrixen!$Y$14,$J$32=matrixen!$Z$14),'recepties en babyborrels'!F47,'recepties en babyborrels'!H41)</f>
        <v>0</v>
      </c>
    </row>
  </sheetData>
  <sheetProtection algorithmName="SHA-512" hashValue="YUrXKhqkDyy8itvAA89HHJrPPZOFOecKbemnq73JUdM+3XrJrtvyn7YY/FoKr+R4/Oc22paS1XtXhdQMsn9RPw==" saltValue="gxnVqx21YslgxgqZfxgEPw==" spinCount="100000" sheet="1" objects="1" scenarios="1" selectLockedCells="1"/>
  <mergeCells count="13">
    <mergeCell ref="R3:R4"/>
    <mergeCell ref="A37:I41"/>
    <mergeCell ref="O3:O4"/>
    <mergeCell ref="P3:P4"/>
    <mergeCell ref="Q3:Q4"/>
    <mergeCell ref="M10:N10"/>
    <mergeCell ref="J13:L13"/>
    <mergeCell ref="M13:Q13"/>
    <mergeCell ref="J15:R15"/>
    <mergeCell ref="J17:R17"/>
    <mergeCell ref="O24:R24"/>
    <mergeCell ref="J26:R27"/>
    <mergeCell ref="A35:I36"/>
  </mergeCells>
  <conditionalFormatting sqref="D43">
    <cfRule type="cellIs" dxfId="13" priority="13" operator="equal">
      <formula>"ja"</formula>
    </cfRule>
    <cfRule type="cellIs" dxfId="12" priority="14" operator="equal">
      <formula>"ja"</formula>
    </cfRule>
  </conditionalFormatting>
  <conditionalFormatting sqref="D44">
    <cfRule type="cellIs" dxfId="11" priority="11" operator="equal">
      <formula>"ja"</formula>
    </cfRule>
    <cfRule type="cellIs" dxfId="10" priority="12" operator="equal">
      <formula>"ja"</formula>
    </cfRule>
  </conditionalFormatting>
  <conditionalFormatting sqref="H42">
    <cfRule type="cellIs" dxfId="9" priority="9" operator="equal">
      <formula>"ja"</formula>
    </cfRule>
    <cfRule type="cellIs" dxfId="8" priority="10" operator="equal">
      <formula>"ja"</formula>
    </cfRule>
  </conditionalFormatting>
  <conditionalFormatting sqref="H43">
    <cfRule type="cellIs" dxfId="7" priority="7" operator="equal">
      <formula>"ja"</formula>
    </cfRule>
    <cfRule type="cellIs" dxfId="6" priority="8" operator="equal">
      <formula>"ja"</formula>
    </cfRule>
  </conditionalFormatting>
  <conditionalFormatting sqref="H44">
    <cfRule type="cellIs" dxfId="5" priority="5" operator="equal">
      <formula>"ja"</formula>
    </cfRule>
    <cfRule type="cellIs" dxfId="4" priority="6" operator="equal">
      <formula>"ja"</formula>
    </cfRule>
  </conditionalFormatting>
  <conditionalFormatting sqref="I48">
    <cfRule type="cellIs" dxfId="3" priority="4" operator="equal">
      <formula>"nee"</formula>
    </cfRule>
  </conditionalFormatting>
  <conditionalFormatting sqref="D42">
    <cfRule type="cellIs" dxfId="2" priority="2" operator="equal">
      <formula>"ja"</formula>
    </cfRule>
    <cfRule type="cellIs" dxfId="1" priority="3" operator="equal">
      <formula>"ja"</formula>
    </cfRule>
  </conditionalFormatting>
  <conditionalFormatting sqref="M13:Q13">
    <cfRule type="containsText" dxfId="0" priority="1" operator="containsText" text="onmogelijk">
      <formula>NOT(ISERROR(SEARCH("onmogelijk",M13)))</formula>
    </cfRule>
  </conditionalFormatting>
  <dataValidations disablePrompts="1" count="1">
    <dataValidation type="whole" allowBlank="1" showInputMessage="1" showErrorMessage="1" errorTitle="Fout" error="U kunt niet meer ingeven dan het totaal aantal volwassenen._x000a_" sqref="N12" xr:uid="{00000000-0002-0000-0300-000000000000}">
      <formula1>0</formula1>
      <formula2>K5</formula2>
    </dataValidation>
  </dataValidations>
  <pageMargins left="0.7" right="0.7" top="0.75" bottom="0.75" header="0.3" footer="0.3"/>
  <pageSetup paperSize="9" scale="93" orientation="portrait" horizontalDpi="0" verticalDpi="0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uk_voorstel_af">
                <anchor moveWithCells="1" sizeWithCells="1">
                  <from>
                    <xdr:col>7</xdr:col>
                    <xdr:colOff>542925</xdr:colOff>
                    <xdr:row>1</xdr:row>
                    <xdr:rowOff>38100</xdr:rowOff>
                  </from>
                  <to>
                    <xdr:col>9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activeer">
                <anchor moveWithCells="1" sizeWithCells="1">
                  <from>
                    <xdr:col>18</xdr:col>
                    <xdr:colOff>171450</xdr:colOff>
                    <xdr:row>1</xdr:row>
                    <xdr:rowOff>171450</xdr:rowOff>
                  </from>
                  <to>
                    <xdr:col>19</xdr:col>
                    <xdr:colOff>342900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desactiveer">
                <anchor moveWithCells="1" sizeWithCells="1">
                  <from>
                    <xdr:col>18</xdr:col>
                    <xdr:colOff>200025</xdr:colOff>
                    <xdr:row>3</xdr:row>
                    <xdr:rowOff>161925</xdr:rowOff>
                  </from>
                  <to>
                    <xdr:col>19</xdr:col>
                    <xdr:colOff>361950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lad4.BAH">
                <anchor moveWithCells="1" sizeWithCells="1">
                  <from>
                    <xdr:col>18</xdr:col>
                    <xdr:colOff>209550</xdr:colOff>
                    <xdr:row>5</xdr:row>
                    <xdr:rowOff>76200</xdr:rowOff>
                  </from>
                  <to>
                    <xdr:col>19</xdr:col>
                    <xdr:colOff>352425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Druk_voorstel_1_af">
                <anchor moveWithCells="1" sizeWithCells="1">
                  <from>
                    <xdr:col>18</xdr:col>
                    <xdr:colOff>219075</xdr:colOff>
                    <xdr:row>7</xdr:row>
                    <xdr:rowOff>123825</xdr:rowOff>
                  </from>
                  <to>
                    <xdr:col>19</xdr:col>
                    <xdr:colOff>238125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Druk_voorstel_2_af">
                <anchor moveWithCells="1" sizeWithCells="1">
                  <from>
                    <xdr:col>18</xdr:col>
                    <xdr:colOff>228600</xdr:colOff>
                    <xdr:row>9</xdr:row>
                    <xdr:rowOff>95250</xdr:rowOff>
                  </from>
                  <to>
                    <xdr:col>19</xdr:col>
                    <xdr:colOff>257175</xdr:colOff>
                    <xdr:row>10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recepties en babyborrels</vt:lpstr>
      <vt:lpstr>matrixen</vt:lpstr>
      <vt:lpstr>Algemene verkoopsvoorwaarden</vt:lpstr>
      <vt:lpstr>Reservatievoorstel</vt:lpstr>
      <vt:lpstr>'Algemene verkoopsvoorwaarden'!Afdrukbereik</vt:lpstr>
      <vt:lpstr>Reservatievoorstel!Afdrukbereik</vt:lpstr>
      <vt:lpstr>hapjes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2019-10-31T16:00:13Z</dcterms:modified>
</cp:coreProperties>
</file>